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Instagram\"/>
    </mc:Choice>
  </mc:AlternateContent>
  <bookViews>
    <workbookView xWindow="120" yWindow="135" windowWidth="19425" windowHeight="11025"/>
  </bookViews>
  <sheets>
    <sheet name="Roteiros" sheetId="15" r:id="rId1"/>
    <sheet name="Passeios" sheetId="16" r:id="rId2"/>
    <sheet name="Calendario" sheetId="8" r:id="rId3"/>
    <sheet name="Feriados" sheetId="9" state="hidden" r:id="rId4"/>
  </sheets>
  <definedNames>
    <definedName name="_Abr1">Calendario!$A$15</definedName>
    <definedName name="_Ago1">Calendario!$I$24</definedName>
    <definedName name="_Brz1">Feriados!$B$4:$B$14</definedName>
    <definedName name="_Brz2">Feriados!$B$17:$B$24</definedName>
    <definedName name="_Dez1">Calendario!$Q$33</definedName>
    <definedName name="_Fev1">Calendario!$I$6</definedName>
    <definedName name="_Jan1">Calendario!$A$6</definedName>
    <definedName name="_Jul1">Calendario!$A$24</definedName>
    <definedName name="_Jun1">Calendario!$Q$15</definedName>
    <definedName name="_Mai1">Calendario!$I$15</definedName>
    <definedName name="_Mar1">Calendario!$Q$6</definedName>
    <definedName name="_Nov1">Calendario!$I$33</definedName>
    <definedName name="_Out1">Calendario!$A$33</definedName>
    <definedName name="_Set1">Calendario!$Q$24</definedName>
    <definedName name="ano">Calendario!$C$2</definedName>
    <definedName name="_xlnm.Print_Area" localSheetId="2">Calendario!$A$4:$W$40</definedName>
    <definedName name="_xlnm.Print_Area" localSheetId="1">Passeios!$A$1:$G$80</definedName>
    <definedName name="_xlnm.Print_Area" localSheetId="0">Roteiros!$B$1:$X$69</definedName>
    <definedName name="Exibir_Dat_Com">Calendario!$AE$2</definedName>
    <definedName name="Exibir_Fer_EUA">Calendario!$AG$2</definedName>
    <definedName name="Exibir_Fer_Nac">Calendario!$AC$2</definedName>
    <definedName name="Meses">Calendario!$A$8:$G$13,Calendario!$I$8:$O$13,Calendario!$Q$8:$W$13,Calendario!$A$17:$G$22,Calendario!$I$17:$O$22,Calendario!$Q$17:$W$22,Calendario!$A$26:$G$31,Calendario!$I$26:$O$31,Calendario!$Q$26:$W$31,Calendario!$A$35:$G$40,Calendario!$I$35:$O$40,Calendario!$Q$35:$W$40</definedName>
    <definedName name="Páscoa">Feriados!$B$6</definedName>
    <definedName name="USA">Feriados!$B$27:$B$34</definedName>
  </definedNames>
  <calcPr calcId="152511"/>
</workbook>
</file>

<file path=xl/calcChain.xml><?xml version="1.0" encoding="utf-8"?>
<calcChain xmlns="http://schemas.openxmlformats.org/spreadsheetml/2006/main">
  <c r="V67" i="15" l="1"/>
  <c r="Q11" i="15" s="1"/>
  <c r="F80" i="16"/>
  <c r="M17" i="15"/>
  <c r="B9" i="15" l="1"/>
  <c r="F17" i="15" l="1"/>
  <c r="B17" i="15"/>
  <c r="C17" i="15"/>
  <c r="C18" i="15" s="1"/>
  <c r="P67" i="15"/>
  <c r="O11" i="15" s="1"/>
  <c r="W67" i="15"/>
  <c r="O13" i="15" s="1"/>
  <c r="U67" i="15"/>
  <c r="Q7" i="15" s="1"/>
  <c r="T67" i="15"/>
  <c r="O7" i="15" s="1"/>
  <c r="Q67" i="15"/>
  <c r="K67" i="15"/>
  <c r="H9" i="15" s="1"/>
  <c r="G16" i="8"/>
  <c r="O16" i="8" s="1"/>
  <c r="W16" i="8" s="1"/>
  <c r="F16" i="8"/>
  <c r="N16" i="8" s="1"/>
  <c r="V16" i="8" s="1"/>
  <c r="E16" i="8"/>
  <c r="E25" i="8" s="1"/>
  <c r="D16" i="8"/>
  <c r="L16" i="8" s="1"/>
  <c r="T16" i="8" s="1"/>
  <c r="D25" i="8"/>
  <c r="D34" i="8" s="1"/>
  <c r="L34" i="8" s="1"/>
  <c r="T34" i="8" s="1"/>
  <c r="C16" i="8"/>
  <c r="C25" i="8" s="1"/>
  <c r="B16" i="8"/>
  <c r="B25" i="8" s="1"/>
  <c r="A16" i="8"/>
  <c r="A25" i="8" s="1"/>
  <c r="O7" i="8"/>
  <c r="W7" i="8" s="1"/>
  <c r="N7" i="8"/>
  <c r="V7" i="8" s="1"/>
  <c r="M7" i="8"/>
  <c r="U7" i="8" s="1"/>
  <c r="L7" i="8"/>
  <c r="T7" i="8"/>
  <c r="K7" i="8"/>
  <c r="S7" i="8" s="1"/>
  <c r="J7" i="8"/>
  <c r="R7" i="8" s="1"/>
  <c r="I7" i="8"/>
  <c r="Q7" i="8" s="1"/>
  <c r="C2" i="8"/>
  <c r="B31" i="9" s="1"/>
  <c r="M16" i="8"/>
  <c r="U16" i="8" s="1"/>
  <c r="I25" i="8" l="1"/>
  <c r="Q25" i="8" s="1"/>
  <c r="A34" i="8"/>
  <c r="I34" i="8" s="1"/>
  <c r="Q34" i="8" s="1"/>
  <c r="E34" i="8"/>
  <c r="M34" i="8" s="1"/>
  <c r="U34" i="8" s="1"/>
  <c r="M25" i="8"/>
  <c r="U25" i="8" s="1"/>
  <c r="I16" i="8"/>
  <c r="Q16" i="8" s="1"/>
  <c r="F25" i="8"/>
  <c r="F34" i="8" s="1"/>
  <c r="N34" i="8" s="1"/>
  <c r="V34" i="8" s="1"/>
  <c r="K16" i="8"/>
  <c r="S16" i="8" s="1"/>
  <c r="B18" i="15"/>
  <c r="O17" i="15"/>
  <c r="X17" i="15" s="1"/>
  <c r="A33" i="8"/>
  <c r="A35" i="8" s="1"/>
  <c r="B35" i="8" s="1"/>
  <c r="C35" i="8" s="1"/>
  <c r="D35" i="8" s="1"/>
  <c r="E35" i="8" s="1"/>
  <c r="F35" i="8" s="1"/>
  <c r="G35" i="8" s="1"/>
  <c r="A36" i="8" s="1"/>
  <c r="B36" i="8" s="1"/>
  <c r="C36" i="8" s="1"/>
  <c r="D36" i="8" s="1"/>
  <c r="E36" i="8" s="1"/>
  <c r="F36" i="8" s="1"/>
  <c r="G36" i="8" s="1"/>
  <c r="A37" i="8" s="1"/>
  <c r="B37" i="8" s="1"/>
  <c r="C37" i="8" s="1"/>
  <c r="D37" i="8" s="1"/>
  <c r="E37" i="8" s="1"/>
  <c r="F37" i="8" s="1"/>
  <c r="G37" i="8" s="1"/>
  <c r="A38" i="8" s="1"/>
  <c r="B38" i="8" s="1"/>
  <c r="C38" i="8" s="1"/>
  <c r="D38" i="8" s="1"/>
  <c r="E38" i="8" s="1"/>
  <c r="F38" i="8" s="1"/>
  <c r="G38" i="8" s="1"/>
  <c r="A39" i="8" s="1"/>
  <c r="B39" i="8" s="1"/>
  <c r="C39" i="8" s="1"/>
  <c r="D39" i="8" s="1"/>
  <c r="E39" i="8" s="1"/>
  <c r="F39" i="8" s="1"/>
  <c r="G39" i="8" s="1"/>
  <c r="A40" i="8" s="1"/>
  <c r="B40" i="8" s="1"/>
  <c r="C40" i="8" s="1"/>
  <c r="D40" i="8" s="1"/>
  <c r="E40" i="8" s="1"/>
  <c r="F40" i="8" s="1"/>
  <c r="G40" i="8" s="1"/>
  <c r="Q24" i="8"/>
  <c r="Q26" i="8" s="1"/>
  <c r="R26" i="8" s="1"/>
  <c r="S26" i="8" s="1"/>
  <c r="T26" i="8" s="1"/>
  <c r="U26" i="8" s="1"/>
  <c r="V26" i="8" s="1"/>
  <c r="W26" i="8" s="1"/>
  <c r="Q27" i="8" s="1"/>
  <c r="R27" i="8" s="1"/>
  <c r="S27" i="8" s="1"/>
  <c r="T27" i="8" s="1"/>
  <c r="U27" i="8" s="1"/>
  <c r="V27" i="8" s="1"/>
  <c r="W27" i="8" s="1"/>
  <c r="Q28" i="8" s="1"/>
  <c r="R28" i="8" s="1"/>
  <c r="S28" i="8" s="1"/>
  <c r="T28" i="8" s="1"/>
  <c r="U28" i="8" s="1"/>
  <c r="V28" i="8" s="1"/>
  <c r="W28" i="8" s="1"/>
  <c r="Q29" i="8" s="1"/>
  <c r="R29" i="8" s="1"/>
  <c r="S29" i="8" s="1"/>
  <c r="T29" i="8" s="1"/>
  <c r="U29" i="8" s="1"/>
  <c r="V29" i="8" s="1"/>
  <c r="W29" i="8" s="1"/>
  <c r="Q30" i="8" s="1"/>
  <c r="R30" i="8" s="1"/>
  <c r="S30" i="8" s="1"/>
  <c r="T30" i="8" s="1"/>
  <c r="U30" i="8" s="1"/>
  <c r="V30" i="8" s="1"/>
  <c r="W30" i="8" s="1"/>
  <c r="Q31" i="8" s="1"/>
  <c r="R31" i="8" s="1"/>
  <c r="S31" i="8" s="1"/>
  <c r="T31" i="8" s="1"/>
  <c r="U31" i="8" s="1"/>
  <c r="V31" i="8" s="1"/>
  <c r="W31" i="8" s="1"/>
  <c r="W4" i="8"/>
  <c r="J25" i="8"/>
  <c r="R25" i="8" s="1"/>
  <c r="B34" i="8"/>
  <c r="J34" i="8" s="1"/>
  <c r="R34" i="8" s="1"/>
  <c r="K25" i="8"/>
  <c r="S25" i="8" s="1"/>
  <c r="C34" i="8"/>
  <c r="K34" i="8" s="1"/>
  <c r="S34" i="8" s="1"/>
  <c r="L25" i="8"/>
  <c r="T25" i="8" s="1"/>
  <c r="J16" i="8"/>
  <c r="R16" i="8" s="1"/>
  <c r="N25" i="8"/>
  <c r="V25" i="8" s="1"/>
  <c r="G25" i="8"/>
  <c r="L17" i="15"/>
  <c r="J9" i="15"/>
  <c r="D17" i="15"/>
  <c r="E17" i="15" s="1"/>
  <c r="H11" i="15"/>
  <c r="C19" i="15"/>
  <c r="D18" i="15"/>
  <c r="E18" i="15" s="1"/>
  <c r="B20" i="9"/>
  <c r="A15" i="8"/>
  <c r="A17" i="8" s="1"/>
  <c r="B17" i="8" s="1"/>
  <c r="C17" i="8" s="1"/>
  <c r="D17" i="8" s="1"/>
  <c r="E17" i="8" s="1"/>
  <c r="F17" i="8" s="1"/>
  <c r="G17" i="8" s="1"/>
  <c r="A18" i="8" s="1"/>
  <c r="B18" i="8" s="1"/>
  <c r="C18" i="8" s="1"/>
  <c r="D18" i="8" s="1"/>
  <c r="E18" i="8" s="1"/>
  <c r="F18" i="8" s="1"/>
  <c r="G18" i="8" s="1"/>
  <c r="A19" i="8" s="1"/>
  <c r="B19" i="8" s="1"/>
  <c r="C19" i="8" s="1"/>
  <c r="D19" i="8" s="1"/>
  <c r="E19" i="8" s="1"/>
  <c r="F19" i="8" s="1"/>
  <c r="G19" i="8" s="1"/>
  <c r="A20" i="8" s="1"/>
  <c r="B20" i="8" s="1"/>
  <c r="C20" i="8" s="1"/>
  <c r="D20" i="8" s="1"/>
  <c r="E20" i="8" s="1"/>
  <c r="F20" i="8" s="1"/>
  <c r="G20" i="8" s="1"/>
  <c r="A21" i="8" s="1"/>
  <c r="B21" i="8" s="1"/>
  <c r="C21" i="8" s="1"/>
  <c r="D21" i="8" s="1"/>
  <c r="E21" i="8" s="1"/>
  <c r="F21" i="8" s="1"/>
  <c r="G21" i="8" s="1"/>
  <c r="A22" i="8" s="1"/>
  <c r="B22" i="8" s="1"/>
  <c r="C22" i="8" s="1"/>
  <c r="D22" i="8" s="1"/>
  <c r="E22" i="8" s="1"/>
  <c r="F22" i="8" s="1"/>
  <c r="G22" i="8" s="1"/>
  <c r="B7" i="9"/>
  <c r="B34" i="9"/>
  <c r="B6" i="9"/>
  <c r="B18" i="9" s="1"/>
  <c r="B24" i="9"/>
  <c r="A1" i="9"/>
  <c r="B28" i="9"/>
  <c r="Q6" i="8"/>
  <c r="Q8" i="8" s="1"/>
  <c r="R8" i="8" s="1"/>
  <c r="S8" i="8" s="1"/>
  <c r="T8" i="8" s="1"/>
  <c r="U8" i="8" s="1"/>
  <c r="V8" i="8" s="1"/>
  <c r="W8" i="8" s="1"/>
  <c r="Q9" i="8" s="1"/>
  <c r="R9" i="8" s="1"/>
  <c r="S9" i="8" s="1"/>
  <c r="T9" i="8" s="1"/>
  <c r="U9" i="8" s="1"/>
  <c r="V9" i="8" s="1"/>
  <c r="W9" i="8" s="1"/>
  <c r="Q10" i="8" s="1"/>
  <c r="R10" i="8" s="1"/>
  <c r="S10" i="8" s="1"/>
  <c r="T10" i="8" s="1"/>
  <c r="U10" i="8" s="1"/>
  <c r="V10" i="8" s="1"/>
  <c r="W10" i="8" s="1"/>
  <c r="Q11" i="8" s="1"/>
  <c r="R11" i="8" s="1"/>
  <c r="S11" i="8" s="1"/>
  <c r="T11" i="8" s="1"/>
  <c r="U11" i="8" s="1"/>
  <c r="V11" i="8" s="1"/>
  <c r="W11" i="8" s="1"/>
  <c r="Q12" i="8" s="1"/>
  <c r="R12" i="8" s="1"/>
  <c r="S12" i="8" s="1"/>
  <c r="T12" i="8" s="1"/>
  <c r="U12" i="8" s="1"/>
  <c r="V12" i="8" s="1"/>
  <c r="W12" i="8" s="1"/>
  <c r="Q13" i="8" s="1"/>
  <c r="R13" i="8" s="1"/>
  <c r="S13" i="8" s="1"/>
  <c r="T13" i="8" s="1"/>
  <c r="U13" i="8" s="1"/>
  <c r="V13" i="8" s="1"/>
  <c r="W13" i="8" s="1"/>
  <c r="B27" i="9"/>
  <c r="B8" i="9"/>
  <c r="B13" i="9"/>
  <c r="B23" i="9"/>
  <c r="B10" i="9"/>
  <c r="B14" i="9"/>
  <c r="I15" i="8"/>
  <c r="I17" i="8" s="1"/>
  <c r="J17" i="8" s="1"/>
  <c r="K17" i="8" s="1"/>
  <c r="L17" i="8" s="1"/>
  <c r="M17" i="8" s="1"/>
  <c r="N17" i="8" s="1"/>
  <c r="O17" i="8" s="1"/>
  <c r="I18" i="8" s="1"/>
  <c r="J18" i="8" s="1"/>
  <c r="K18" i="8" s="1"/>
  <c r="L18" i="8" s="1"/>
  <c r="M18" i="8" s="1"/>
  <c r="N18" i="8" s="1"/>
  <c r="O18" i="8" s="1"/>
  <c r="I19" i="8" s="1"/>
  <c r="J19" i="8" s="1"/>
  <c r="K19" i="8" s="1"/>
  <c r="L19" i="8" s="1"/>
  <c r="M19" i="8" s="1"/>
  <c r="N19" i="8" s="1"/>
  <c r="O19" i="8" s="1"/>
  <c r="I20" i="8" s="1"/>
  <c r="J20" i="8" s="1"/>
  <c r="K20" i="8" s="1"/>
  <c r="L20" i="8" s="1"/>
  <c r="M20" i="8" s="1"/>
  <c r="N20" i="8" s="1"/>
  <c r="O20" i="8" s="1"/>
  <c r="I21" i="8" s="1"/>
  <c r="J21" i="8" s="1"/>
  <c r="K21" i="8" s="1"/>
  <c r="L21" i="8" s="1"/>
  <c r="M21" i="8" s="1"/>
  <c r="N21" i="8" s="1"/>
  <c r="O21" i="8" s="1"/>
  <c r="I22" i="8" s="1"/>
  <c r="J22" i="8" s="1"/>
  <c r="K22" i="8" s="1"/>
  <c r="L22" i="8" s="1"/>
  <c r="M22" i="8" s="1"/>
  <c r="N22" i="8" s="1"/>
  <c r="O22" i="8" s="1"/>
  <c r="Q33" i="8"/>
  <c r="Q35" i="8" s="1"/>
  <c r="R35" i="8" s="1"/>
  <c r="S35" i="8" s="1"/>
  <c r="T35" i="8" s="1"/>
  <c r="U35" i="8" s="1"/>
  <c r="V35" i="8" s="1"/>
  <c r="W35" i="8" s="1"/>
  <c r="Q36" i="8" s="1"/>
  <c r="R36" i="8" s="1"/>
  <c r="S36" i="8" s="1"/>
  <c r="T36" i="8" s="1"/>
  <c r="U36" i="8" s="1"/>
  <c r="V36" i="8" s="1"/>
  <c r="W36" i="8" s="1"/>
  <c r="Q37" i="8" s="1"/>
  <c r="R37" i="8" s="1"/>
  <c r="S37" i="8" s="1"/>
  <c r="T37" i="8" s="1"/>
  <c r="U37" i="8" s="1"/>
  <c r="V37" i="8" s="1"/>
  <c r="W37" i="8" s="1"/>
  <c r="Q38" i="8" s="1"/>
  <c r="R38" i="8" s="1"/>
  <c r="S38" i="8" s="1"/>
  <c r="T38" i="8" s="1"/>
  <c r="U38" i="8" s="1"/>
  <c r="V38" i="8" s="1"/>
  <c r="W38" i="8" s="1"/>
  <c r="Q39" i="8" s="1"/>
  <c r="R39" i="8" s="1"/>
  <c r="S39" i="8" s="1"/>
  <c r="T39" i="8" s="1"/>
  <c r="U39" i="8" s="1"/>
  <c r="V39" i="8" s="1"/>
  <c r="W39" i="8" s="1"/>
  <c r="Q40" i="8" s="1"/>
  <c r="R40" i="8" s="1"/>
  <c r="S40" i="8" s="1"/>
  <c r="T40" i="8" s="1"/>
  <c r="U40" i="8" s="1"/>
  <c r="V40" i="8" s="1"/>
  <c r="W40" i="8" s="1"/>
  <c r="B30" i="9"/>
  <c r="B4" i="9"/>
  <c r="I24" i="8"/>
  <c r="I26" i="8" s="1"/>
  <c r="J26" i="8" s="1"/>
  <c r="K26" i="8" s="1"/>
  <c r="L26" i="8" s="1"/>
  <c r="M26" i="8" s="1"/>
  <c r="N26" i="8" s="1"/>
  <c r="O26" i="8" s="1"/>
  <c r="I27" i="8" s="1"/>
  <c r="J27" i="8" s="1"/>
  <c r="K27" i="8" s="1"/>
  <c r="L27" i="8" s="1"/>
  <c r="M27" i="8" s="1"/>
  <c r="N27" i="8" s="1"/>
  <c r="O27" i="8" s="1"/>
  <c r="I28" i="8" s="1"/>
  <c r="J28" i="8" s="1"/>
  <c r="K28" i="8" s="1"/>
  <c r="L28" i="8" s="1"/>
  <c r="M28" i="8" s="1"/>
  <c r="N28" i="8" s="1"/>
  <c r="O28" i="8" s="1"/>
  <c r="I29" i="8" s="1"/>
  <c r="J29" i="8" s="1"/>
  <c r="K29" i="8" s="1"/>
  <c r="L29" i="8" s="1"/>
  <c r="M29" i="8" s="1"/>
  <c r="N29" i="8" s="1"/>
  <c r="O29" i="8" s="1"/>
  <c r="I30" i="8" s="1"/>
  <c r="J30" i="8" s="1"/>
  <c r="K30" i="8" s="1"/>
  <c r="L30" i="8" s="1"/>
  <c r="M30" i="8" s="1"/>
  <c r="N30" i="8" s="1"/>
  <c r="O30" i="8" s="1"/>
  <c r="I31" i="8" s="1"/>
  <c r="J31" i="8" s="1"/>
  <c r="K31" i="8" s="1"/>
  <c r="L31" i="8" s="1"/>
  <c r="M31" i="8" s="1"/>
  <c r="N31" i="8" s="1"/>
  <c r="O31" i="8" s="1"/>
  <c r="B21" i="9"/>
  <c r="B12" i="9"/>
  <c r="Q15" i="8"/>
  <c r="Q17" i="8" s="1"/>
  <c r="R17" i="8" s="1"/>
  <c r="S17" i="8" s="1"/>
  <c r="T17" i="8" s="1"/>
  <c r="U17" i="8" s="1"/>
  <c r="V17" i="8" s="1"/>
  <c r="W17" i="8" s="1"/>
  <c r="Q18" i="8" s="1"/>
  <c r="R18" i="8" s="1"/>
  <c r="S18" i="8" s="1"/>
  <c r="T18" i="8" s="1"/>
  <c r="U18" i="8" s="1"/>
  <c r="V18" i="8" s="1"/>
  <c r="W18" i="8" s="1"/>
  <c r="Q19" i="8" s="1"/>
  <c r="R19" i="8" s="1"/>
  <c r="S19" i="8" s="1"/>
  <c r="T19" i="8" s="1"/>
  <c r="U19" i="8" s="1"/>
  <c r="V19" i="8" s="1"/>
  <c r="W19" i="8" s="1"/>
  <c r="Q20" i="8" s="1"/>
  <c r="R20" i="8" s="1"/>
  <c r="S20" i="8" s="1"/>
  <c r="T20" i="8" s="1"/>
  <c r="U20" i="8" s="1"/>
  <c r="V20" i="8" s="1"/>
  <c r="W20" i="8" s="1"/>
  <c r="Q21" i="8" s="1"/>
  <c r="R21" i="8" s="1"/>
  <c r="S21" i="8" s="1"/>
  <c r="T21" i="8" s="1"/>
  <c r="U21" i="8" s="1"/>
  <c r="V21" i="8" s="1"/>
  <c r="W21" i="8" s="1"/>
  <c r="Q22" i="8" s="1"/>
  <c r="R22" i="8" s="1"/>
  <c r="S22" i="8" s="1"/>
  <c r="T22" i="8" s="1"/>
  <c r="U22" i="8" s="1"/>
  <c r="V22" i="8" s="1"/>
  <c r="W22" i="8" s="1"/>
  <c r="B33" i="9"/>
  <c r="A24" i="8"/>
  <c r="A26" i="8" s="1"/>
  <c r="B26" i="8" s="1"/>
  <c r="C26" i="8" s="1"/>
  <c r="D26" i="8" s="1"/>
  <c r="E26" i="8" s="1"/>
  <c r="F26" i="8" s="1"/>
  <c r="G26" i="8" s="1"/>
  <c r="A27" i="8" s="1"/>
  <c r="B27" i="8" s="1"/>
  <c r="C27" i="8" s="1"/>
  <c r="D27" i="8" s="1"/>
  <c r="E27" i="8" s="1"/>
  <c r="F27" i="8" s="1"/>
  <c r="G27" i="8" s="1"/>
  <c r="A28" i="8" s="1"/>
  <c r="B28" i="8" s="1"/>
  <c r="C28" i="8" s="1"/>
  <c r="D28" i="8" s="1"/>
  <c r="E28" i="8" s="1"/>
  <c r="F28" i="8" s="1"/>
  <c r="G28" i="8" s="1"/>
  <c r="A29" i="8" s="1"/>
  <c r="B29" i="8" s="1"/>
  <c r="C29" i="8" s="1"/>
  <c r="D29" i="8" s="1"/>
  <c r="E29" i="8" s="1"/>
  <c r="F29" i="8" s="1"/>
  <c r="G29" i="8" s="1"/>
  <c r="A30" i="8" s="1"/>
  <c r="B30" i="8" s="1"/>
  <c r="C30" i="8" s="1"/>
  <c r="D30" i="8" s="1"/>
  <c r="E30" i="8" s="1"/>
  <c r="F30" i="8" s="1"/>
  <c r="G30" i="8" s="1"/>
  <c r="A31" i="8" s="1"/>
  <c r="B31" i="8" s="1"/>
  <c r="C31" i="8" s="1"/>
  <c r="D31" i="8" s="1"/>
  <c r="E31" i="8" s="1"/>
  <c r="F31" i="8" s="1"/>
  <c r="G31" i="8" s="1"/>
  <c r="I6" i="8"/>
  <c r="I8" i="8" s="1"/>
  <c r="J8" i="8" s="1"/>
  <c r="K8" i="8" s="1"/>
  <c r="L8" i="8" s="1"/>
  <c r="M8" i="8" s="1"/>
  <c r="N8" i="8" s="1"/>
  <c r="O8" i="8" s="1"/>
  <c r="I9" i="8" s="1"/>
  <c r="J9" i="8" s="1"/>
  <c r="K9" i="8" s="1"/>
  <c r="L9" i="8" s="1"/>
  <c r="M9" i="8" s="1"/>
  <c r="N9" i="8" s="1"/>
  <c r="O9" i="8" s="1"/>
  <c r="I10" i="8" s="1"/>
  <c r="J10" i="8" s="1"/>
  <c r="K10" i="8" s="1"/>
  <c r="L10" i="8" s="1"/>
  <c r="M10" i="8" s="1"/>
  <c r="N10" i="8" s="1"/>
  <c r="O10" i="8" s="1"/>
  <c r="I11" i="8" s="1"/>
  <c r="J11" i="8" s="1"/>
  <c r="K11" i="8" s="1"/>
  <c r="L11" i="8" s="1"/>
  <c r="M11" i="8" s="1"/>
  <c r="N11" i="8" s="1"/>
  <c r="O11" i="8" s="1"/>
  <c r="I12" i="8" s="1"/>
  <c r="J12" i="8" s="1"/>
  <c r="K12" i="8" s="1"/>
  <c r="L12" i="8" s="1"/>
  <c r="M12" i="8" s="1"/>
  <c r="N12" i="8" s="1"/>
  <c r="O12" i="8" s="1"/>
  <c r="I13" i="8" s="1"/>
  <c r="J13" i="8" s="1"/>
  <c r="K13" i="8" s="1"/>
  <c r="L13" i="8" s="1"/>
  <c r="M13" i="8" s="1"/>
  <c r="N13" i="8" s="1"/>
  <c r="O13" i="8" s="1"/>
  <c r="I33" i="8"/>
  <c r="I35" i="8" s="1"/>
  <c r="J35" i="8" s="1"/>
  <c r="K35" i="8" s="1"/>
  <c r="L35" i="8" s="1"/>
  <c r="M35" i="8" s="1"/>
  <c r="N35" i="8" s="1"/>
  <c r="O35" i="8" s="1"/>
  <c r="I36" i="8" s="1"/>
  <c r="J36" i="8" s="1"/>
  <c r="K36" i="8" s="1"/>
  <c r="L36" i="8" s="1"/>
  <c r="M36" i="8" s="1"/>
  <c r="N36" i="8" s="1"/>
  <c r="O36" i="8" s="1"/>
  <c r="I37" i="8" s="1"/>
  <c r="J37" i="8" s="1"/>
  <c r="K37" i="8" s="1"/>
  <c r="L37" i="8" s="1"/>
  <c r="M37" i="8" s="1"/>
  <c r="N37" i="8" s="1"/>
  <c r="O37" i="8" s="1"/>
  <c r="I38" i="8" s="1"/>
  <c r="J38" i="8" s="1"/>
  <c r="K38" i="8" s="1"/>
  <c r="L38" i="8" s="1"/>
  <c r="M38" i="8" s="1"/>
  <c r="N38" i="8" s="1"/>
  <c r="O38" i="8" s="1"/>
  <c r="I39" i="8" s="1"/>
  <c r="J39" i="8" s="1"/>
  <c r="K39" i="8" s="1"/>
  <c r="L39" i="8" s="1"/>
  <c r="M39" i="8" s="1"/>
  <c r="N39" i="8" s="1"/>
  <c r="O39" i="8" s="1"/>
  <c r="I40" i="8" s="1"/>
  <c r="J40" i="8" s="1"/>
  <c r="K40" i="8" s="1"/>
  <c r="L40" i="8" s="1"/>
  <c r="M40" i="8" s="1"/>
  <c r="N40" i="8" s="1"/>
  <c r="O40" i="8" s="1"/>
  <c r="B11" i="9"/>
  <c r="B19" i="9"/>
  <c r="B32" i="9"/>
  <c r="B22" i="9"/>
  <c r="A6" i="8"/>
  <c r="A8" i="8" s="1"/>
  <c r="B8" i="8" s="1"/>
  <c r="C8" i="8" s="1"/>
  <c r="D8" i="8" s="1"/>
  <c r="E8" i="8" s="1"/>
  <c r="F8" i="8" s="1"/>
  <c r="G8" i="8" s="1"/>
  <c r="A9" i="8" s="1"/>
  <c r="B9" i="8" s="1"/>
  <c r="C9" i="8" s="1"/>
  <c r="D9" i="8" s="1"/>
  <c r="E9" i="8" s="1"/>
  <c r="F9" i="8" s="1"/>
  <c r="G9" i="8" s="1"/>
  <c r="A10" i="8" s="1"/>
  <c r="B10" i="8" s="1"/>
  <c r="C10" i="8" s="1"/>
  <c r="D10" i="8" s="1"/>
  <c r="E10" i="8" s="1"/>
  <c r="F10" i="8" s="1"/>
  <c r="G10" i="8" s="1"/>
  <c r="A11" i="8" s="1"/>
  <c r="B11" i="8" s="1"/>
  <c r="C11" i="8" s="1"/>
  <c r="D11" i="8" s="1"/>
  <c r="E11" i="8" s="1"/>
  <c r="F11" i="8" s="1"/>
  <c r="G11" i="8" s="1"/>
  <c r="A12" i="8" s="1"/>
  <c r="B12" i="8" s="1"/>
  <c r="C12" i="8" s="1"/>
  <c r="D12" i="8" s="1"/>
  <c r="E12" i="8" s="1"/>
  <c r="F12" i="8" s="1"/>
  <c r="G12" i="8" s="1"/>
  <c r="A13" i="8" s="1"/>
  <c r="B13" i="8" s="1"/>
  <c r="C13" i="8" s="1"/>
  <c r="D13" i="8" s="1"/>
  <c r="E13" i="8" s="1"/>
  <c r="F13" i="8" s="1"/>
  <c r="G13" i="8" s="1"/>
  <c r="B29" i="9"/>
  <c r="B5" i="9"/>
  <c r="B9" i="9"/>
  <c r="L18" i="15" l="1"/>
  <c r="B19" i="15"/>
  <c r="M19" i="15" s="1"/>
  <c r="M18" i="15"/>
  <c r="F18" i="15"/>
  <c r="B17" i="9"/>
  <c r="G34" i="8"/>
  <c r="O34" i="8" s="1"/>
  <c r="W34" i="8" s="1"/>
  <c r="O25" i="8"/>
  <c r="W25" i="8" s="1"/>
  <c r="C20" i="15"/>
  <c r="D19" i="15"/>
  <c r="E19" i="15" s="1"/>
  <c r="F19" i="15" l="1"/>
  <c r="B20" i="15"/>
  <c r="M20" i="15" s="1"/>
  <c r="O20" i="15" s="1"/>
  <c r="L19" i="15"/>
  <c r="O19" i="15"/>
  <c r="X19" i="15" s="1"/>
  <c r="O18" i="15"/>
  <c r="X18" i="15" s="1"/>
  <c r="B21" i="15"/>
  <c r="M21" i="15" s="1"/>
  <c r="F20" i="15"/>
  <c r="D20" i="15"/>
  <c r="E20" i="15" s="1"/>
  <c r="C21" i="15"/>
  <c r="L20" i="15" l="1"/>
  <c r="L21" i="15"/>
  <c r="X20" i="15"/>
  <c r="B22" i="15"/>
  <c r="M22" i="15" s="1"/>
  <c r="O21" i="15"/>
  <c r="F21" i="15"/>
  <c r="C22" i="15"/>
  <c r="D21" i="15"/>
  <c r="E21" i="15" s="1"/>
  <c r="L22" i="15" l="1"/>
  <c r="B23" i="15"/>
  <c r="O22" i="15"/>
  <c r="F22" i="15"/>
  <c r="D22" i="15"/>
  <c r="E22" i="15" s="1"/>
  <c r="C23" i="15"/>
  <c r="B24" i="15" l="1"/>
  <c r="M24" i="15" s="1"/>
  <c r="M23" i="15"/>
  <c r="O23" i="15" s="1"/>
  <c r="X23" i="15" s="1"/>
  <c r="L23" i="15"/>
  <c r="F23" i="15"/>
  <c r="B25" i="15"/>
  <c r="X22" i="15"/>
  <c r="X21" i="15"/>
  <c r="D23" i="15"/>
  <c r="E23" i="15" s="1"/>
  <c r="C24" i="15"/>
  <c r="F24" i="15" l="1"/>
  <c r="L24" i="15"/>
  <c r="L25" i="15" s="1"/>
  <c r="M25" i="15"/>
  <c r="O25" i="15" s="1"/>
  <c r="O24" i="15"/>
  <c r="X24" i="15" s="1"/>
  <c r="B26" i="15"/>
  <c r="M26" i="15" s="1"/>
  <c r="F25" i="15"/>
  <c r="C25" i="15"/>
  <c r="D24" i="15"/>
  <c r="E24" i="15" s="1"/>
  <c r="L26" i="15" l="1"/>
  <c r="B27" i="15"/>
  <c r="M27" i="15" s="1"/>
  <c r="F26" i="15"/>
  <c r="C26" i="15"/>
  <c r="D25" i="15"/>
  <c r="E25" i="15" s="1"/>
  <c r="L27" i="15" l="1"/>
  <c r="O26" i="15"/>
  <c r="X26" i="15" s="1"/>
  <c r="X25" i="15"/>
  <c r="B28" i="15"/>
  <c r="M28" i="15" s="1"/>
  <c r="F27" i="15"/>
  <c r="D26" i="15"/>
  <c r="E26" i="15" s="1"/>
  <c r="C27" i="15"/>
  <c r="L28" i="15" l="1"/>
  <c r="O27" i="15"/>
  <c r="X27" i="15" s="1"/>
  <c r="B29" i="15"/>
  <c r="M29" i="15" s="1"/>
  <c r="O28" i="15"/>
  <c r="F28" i="15"/>
  <c r="D27" i="15"/>
  <c r="E27" i="15" s="1"/>
  <c r="C28" i="15"/>
  <c r="L29" i="15" l="1"/>
  <c r="B30" i="15"/>
  <c r="M30" i="15" s="1"/>
  <c r="O29" i="15"/>
  <c r="X29" i="15" s="1"/>
  <c r="F29" i="15"/>
  <c r="X28" i="15"/>
  <c r="D28" i="15"/>
  <c r="E28" i="15" s="1"/>
  <c r="C29" i="15"/>
  <c r="L30" i="15" l="1"/>
  <c r="B31" i="15"/>
  <c r="M31" i="15" s="1"/>
  <c r="O30" i="15"/>
  <c r="X30" i="15" s="1"/>
  <c r="F30" i="15"/>
  <c r="D29" i="15"/>
  <c r="E29" i="15" s="1"/>
  <c r="C30" i="15"/>
  <c r="L31" i="15" l="1"/>
  <c r="B32" i="15"/>
  <c r="M32" i="15" s="1"/>
  <c r="F31" i="15"/>
  <c r="O31" i="15"/>
  <c r="X31" i="15" s="1"/>
  <c r="C31" i="15"/>
  <c r="D30" i="15"/>
  <c r="E30" i="15" s="1"/>
  <c r="L32" i="15" l="1"/>
  <c r="B33" i="15"/>
  <c r="M33" i="15" s="1"/>
  <c r="F32" i="15"/>
  <c r="O32" i="15"/>
  <c r="X32" i="15" s="1"/>
  <c r="D31" i="15"/>
  <c r="E31" i="15" s="1"/>
  <c r="C32" i="15"/>
  <c r="L33" i="15" l="1"/>
  <c r="B34" i="15"/>
  <c r="M34" i="15" s="1"/>
  <c r="O33" i="15"/>
  <c r="X33" i="15" s="1"/>
  <c r="F33" i="15"/>
  <c r="D32" i="15"/>
  <c r="E32" i="15" s="1"/>
  <c r="C33" i="15"/>
  <c r="L34" i="15" l="1"/>
  <c r="B35" i="15"/>
  <c r="M35" i="15" s="1"/>
  <c r="B36" i="15"/>
  <c r="M36" i="15" s="1"/>
  <c r="O34" i="15"/>
  <c r="F34" i="15"/>
  <c r="D33" i="15"/>
  <c r="E33" i="15" s="1"/>
  <c r="C34" i="15"/>
  <c r="C35" i="15" s="1"/>
  <c r="C36" i="15" s="1"/>
  <c r="C37" i="15" s="1"/>
  <c r="O35" i="15" l="1"/>
  <c r="X35" i="15" s="1"/>
  <c r="F35" i="15"/>
  <c r="L35" i="15"/>
  <c r="L36" i="15" s="1"/>
  <c r="B37" i="15"/>
  <c r="M37" i="15" s="1"/>
  <c r="O36" i="15"/>
  <c r="X36" i="15" s="1"/>
  <c r="F36" i="15"/>
  <c r="D37" i="15"/>
  <c r="E37" i="15" s="1"/>
  <c r="C38" i="15"/>
  <c r="X34" i="15"/>
  <c r="D34" i="15"/>
  <c r="E34" i="15" s="1"/>
  <c r="L37" i="15" l="1"/>
  <c r="B38" i="15"/>
  <c r="M38" i="15" s="1"/>
  <c r="O37" i="15"/>
  <c r="X37" i="15" s="1"/>
  <c r="F37" i="15"/>
  <c r="C39" i="15"/>
  <c r="D38" i="15"/>
  <c r="E38" i="15" s="1"/>
  <c r="D35" i="15"/>
  <c r="E35" i="15" s="1"/>
  <c r="L38" i="15" l="1"/>
  <c r="B39" i="15"/>
  <c r="M39" i="15" s="1"/>
  <c r="F38" i="15"/>
  <c r="O38" i="15"/>
  <c r="X38" i="15" s="1"/>
  <c r="C40" i="15"/>
  <c r="D39" i="15"/>
  <c r="E39" i="15" s="1"/>
  <c r="D36" i="15"/>
  <c r="E36" i="15" s="1"/>
  <c r="L39" i="15" l="1"/>
  <c r="B40" i="15"/>
  <c r="M40" i="15" s="1"/>
  <c r="O40" i="15" s="1"/>
  <c r="F39" i="15"/>
  <c r="O39" i="15"/>
  <c r="X39" i="15" s="1"/>
  <c r="C41" i="15"/>
  <c r="D40" i="15"/>
  <c r="E40" i="15" s="1"/>
  <c r="L40" i="15" l="1"/>
  <c r="X40" i="15"/>
  <c r="B41" i="15"/>
  <c r="F40" i="15"/>
  <c r="C42" i="15"/>
  <c r="D41" i="15"/>
  <c r="E41" i="15" s="1"/>
  <c r="L41" i="15" l="1"/>
  <c r="M41" i="15"/>
  <c r="O41" i="15" s="1"/>
  <c r="X41" i="15" s="1"/>
  <c r="B42" i="15"/>
  <c r="F41" i="15"/>
  <c r="C43" i="15"/>
  <c r="D42" i="15"/>
  <c r="E42" i="15" s="1"/>
  <c r="L42" i="15" l="1"/>
  <c r="O42" i="15"/>
  <c r="M42" i="15"/>
  <c r="B43" i="15"/>
  <c r="F42" i="15"/>
  <c r="X42" i="15"/>
  <c r="C44" i="15"/>
  <c r="D43" i="15"/>
  <c r="E43" i="15" s="1"/>
  <c r="L43" i="15" l="1"/>
  <c r="O43" i="15"/>
  <c r="M43" i="15"/>
  <c r="B44" i="15"/>
  <c r="F43" i="15"/>
  <c r="X43" i="15"/>
  <c r="C45" i="15"/>
  <c r="D44" i="15"/>
  <c r="E44" i="15" s="1"/>
  <c r="O44" i="15" l="1"/>
  <c r="L44" i="15"/>
  <c r="M44" i="15"/>
  <c r="B45" i="15"/>
  <c r="F44" i="15"/>
  <c r="X44" i="15"/>
  <c r="C46" i="15"/>
  <c r="D45" i="15"/>
  <c r="E45" i="15" s="1"/>
  <c r="O45" i="15" l="1"/>
  <c r="L45" i="15"/>
  <c r="M45" i="15"/>
  <c r="B46" i="15"/>
  <c r="F45" i="15"/>
  <c r="X45" i="15"/>
  <c r="C47" i="15"/>
  <c r="D46" i="15"/>
  <c r="E46" i="15" s="1"/>
  <c r="O46" i="15" l="1"/>
  <c r="L46" i="15"/>
  <c r="M46" i="15"/>
  <c r="B47" i="15"/>
  <c r="F46" i="15"/>
  <c r="X46" i="15"/>
  <c r="C48" i="15"/>
  <c r="D47" i="15"/>
  <c r="E47" i="15" s="1"/>
  <c r="M47" i="15" l="1"/>
  <c r="L47" i="15"/>
  <c r="B48" i="15"/>
  <c r="F47" i="15"/>
  <c r="O47" i="15"/>
  <c r="X47" i="15" s="1"/>
  <c r="C49" i="15"/>
  <c r="D48" i="15"/>
  <c r="E48" i="15" s="1"/>
  <c r="M48" i="15" l="1"/>
  <c r="L48" i="15"/>
  <c r="B49" i="15"/>
  <c r="F48" i="15"/>
  <c r="O48" i="15"/>
  <c r="X48" i="15" s="1"/>
  <c r="C50" i="15"/>
  <c r="D49" i="15"/>
  <c r="E49" i="15" s="1"/>
  <c r="M49" i="15" l="1"/>
  <c r="L49" i="15"/>
  <c r="B50" i="15"/>
  <c r="F49" i="15"/>
  <c r="O49" i="15"/>
  <c r="X49" i="15" s="1"/>
  <c r="C51" i="15"/>
  <c r="D50" i="15"/>
  <c r="E50" i="15" s="1"/>
  <c r="M50" i="15" l="1"/>
  <c r="L50" i="15"/>
  <c r="B51" i="15"/>
  <c r="F50" i="15"/>
  <c r="O50" i="15"/>
  <c r="X50" i="15" s="1"/>
  <c r="C52" i="15"/>
  <c r="D51" i="15"/>
  <c r="E51" i="15" s="1"/>
  <c r="M51" i="15" l="1"/>
  <c r="L51" i="15"/>
  <c r="B52" i="15"/>
  <c r="F51" i="15"/>
  <c r="O51" i="15"/>
  <c r="X51" i="15" s="1"/>
  <c r="C53" i="15"/>
  <c r="D52" i="15"/>
  <c r="E52" i="15" s="1"/>
  <c r="L52" i="15" l="1"/>
  <c r="M52" i="15"/>
  <c r="B53" i="15"/>
  <c r="F52" i="15"/>
  <c r="O52" i="15"/>
  <c r="X52" i="15" s="1"/>
  <c r="C54" i="15"/>
  <c r="D53" i="15"/>
  <c r="E53" i="15" s="1"/>
  <c r="L53" i="15" l="1"/>
  <c r="M53" i="15"/>
  <c r="B54" i="15"/>
  <c r="F53" i="15"/>
  <c r="O53" i="15"/>
  <c r="X53" i="15" s="1"/>
  <c r="C55" i="15"/>
  <c r="D54" i="15"/>
  <c r="E54" i="15" s="1"/>
  <c r="L54" i="15" l="1"/>
  <c r="M54" i="15"/>
  <c r="B55" i="15"/>
  <c r="F54" i="15"/>
  <c r="O54" i="15"/>
  <c r="X54" i="15" s="1"/>
  <c r="C56" i="15"/>
  <c r="D55" i="15"/>
  <c r="E55" i="15" s="1"/>
  <c r="F55" i="15" l="1"/>
  <c r="L55" i="15"/>
  <c r="M55" i="15"/>
  <c r="B56" i="15"/>
  <c r="O55" i="15"/>
  <c r="X55" i="15"/>
  <c r="C57" i="15"/>
  <c r="D56" i="15"/>
  <c r="E56" i="15" s="1"/>
  <c r="L56" i="15" l="1"/>
  <c r="M56" i="15"/>
  <c r="F56" i="15"/>
  <c r="B57" i="15"/>
  <c r="O56" i="15"/>
  <c r="X56" i="15"/>
  <c r="C58" i="15"/>
  <c r="D57" i="15"/>
  <c r="E57" i="15" s="1"/>
  <c r="L57" i="15" l="1"/>
  <c r="M57" i="15"/>
  <c r="F57" i="15"/>
  <c r="B58" i="15"/>
  <c r="O57" i="15"/>
  <c r="X57" i="15" s="1"/>
  <c r="C59" i="15"/>
  <c r="D58" i="15"/>
  <c r="E58" i="15" s="1"/>
  <c r="L58" i="15" l="1"/>
  <c r="M58" i="15"/>
  <c r="B59" i="15"/>
  <c r="F58" i="15"/>
  <c r="O58" i="15"/>
  <c r="X58" i="15" s="1"/>
  <c r="C60" i="15"/>
  <c r="D59" i="15"/>
  <c r="E59" i="15" s="1"/>
  <c r="L59" i="15" l="1"/>
  <c r="M59" i="15"/>
  <c r="B60" i="15"/>
  <c r="O59" i="15"/>
  <c r="X59" i="15" s="1"/>
  <c r="F59" i="15"/>
  <c r="C61" i="15"/>
  <c r="D60" i="15"/>
  <c r="E60" i="15" s="1"/>
  <c r="M60" i="15" l="1"/>
  <c r="L60" i="15"/>
  <c r="B61" i="15"/>
  <c r="O60" i="15"/>
  <c r="X60" i="15" s="1"/>
  <c r="F60" i="15"/>
  <c r="C62" i="15"/>
  <c r="D61" i="15"/>
  <c r="E61" i="15" s="1"/>
  <c r="M61" i="15" l="1"/>
  <c r="L61" i="15"/>
  <c r="B62" i="15"/>
  <c r="O61" i="15"/>
  <c r="X61" i="15" s="1"/>
  <c r="F61" i="15"/>
  <c r="C63" i="15"/>
  <c r="D62" i="15"/>
  <c r="E62" i="15" s="1"/>
  <c r="M62" i="15" l="1"/>
  <c r="L62" i="15"/>
  <c r="B63" i="15"/>
  <c r="F62" i="15"/>
  <c r="O62" i="15"/>
  <c r="X62" i="15" s="1"/>
  <c r="C64" i="15"/>
  <c r="D63" i="15"/>
  <c r="E63" i="15" s="1"/>
  <c r="M63" i="15" l="1"/>
  <c r="L63" i="15"/>
  <c r="B64" i="15"/>
  <c r="F63" i="15"/>
  <c r="O63" i="15"/>
  <c r="X63" i="15" s="1"/>
  <c r="C65" i="15"/>
  <c r="D64" i="15"/>
  <c r="E64" i="15" s="1"/>
  <c r="L64" i="15" l="1"/>
  <c r="M64" i="15"/>
  <c r="B65" i="15"/>
  <c r="F64" i="15"/>
  <c r="O64" i="15"/>
  <c r="X64" i="15" s="1"/>
  <c r="D65" i="15"/>
  <c r="E65" i="15" s="1"/>
  <c r="C66" i="15"/>
  <c r="L65" i="15" l="1"/>
  <c r="M65" i="15"/>
  <c r="B66" i="15"/>
  <c r="J11" i="15" s="1"/>
  <c r="F65" i="15"/>
  <c r="D66" i="15"/>
  <c r="E66" i="15" s="1"/>
  <c r="C67" i="15"/>
  <c r="M66" i="15" l="1"/>
  <c r="L66" i="15"/>
  <c r="F66" i="15"/>
  <c r="O66" i="15"/>
  <c r="X66" i="15" s="1"/>
  <c r="O65" i="15"/>
  <c r="D67" i="15"/>
  <c r="E67" i="15" s="1"/>
  <c r="E9" i="15"/>
  <c r="B11" i="15" s="1"/>
  <c r="E11" i="15" s="1"/>
  <c r="M67" i="15" l="1"/>
  <c r="Q9" i="15" s="1"/>
  <c r="X65" i="15"/>
  <c r="X67" i="15" s="1"/>
  <c r="O67" i="15"/>
  <c r="O9" i="15" s="1"/>
  <c r="O5" i="15" s="1"/>
  <c r="Q5" i="15" l="1"/>
  <c r="R5" i="15"/>
</calcChain>
</file>

<file path=xl/comments1.xml><?xml version="1.0" encoding="utf-8"?>
<comments xmlns="http://schemas.openxmlformats.org/spreadsheetml/2006/main">
  <authors>
    <author>Usuário do Windows</author>
    <author>Alcioni Fritz</author>
    <author>Alcioni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Digite aqui o NOME da sua viagem.
EX: Deserto do Atacama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</rPr>
          <t>Digite seu nome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</rPr>
          <t xml:space="preserve">Preenchimento obrigatório.
</t>
        </r>
        <r>
          <rPr>
            <sz val="9"/>
            <color indexed="81"/>
            <rFont val="Tahoma"/>
            <family val="2"/>
          </rPr>
          <t xml:space="preserve">Digite a cidade origem de onde voce estará saindo.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Moto:</t>
        </r>
        <r>
          <rPr>
            <sz val="9"/>
            <color indexed="81"/>
            <rFont val="Tahoma"/>
            <family val="2"/>
          </rPr>
          <t xml:space="preserve">
Digite aqui o modelo da sua moto</t>
        </r>
      </text>
    </comment>
    <comment ref="J5" authorId="2" shapeId="0">
      <text>
        <r>
          <rPr>
            <b/>
            <sz val="9"/>
            <color indexed="81"/>
            <rFont val="Tahoma"/>
            <family val="2"/>
          </rPr>
          <t xml:space="preserve">Preenchimento obrigatório para calculo correto das despesas.
</t>
        </r>
        <r>
          <rPr>
            <sz val="9"/>
            <color indexed="81"/>
            <rFont val="Tahoma"/>
            <family val="2"/>
          </rPr>
          <t xml:space="preserve">Digite aqui o consumo médio da sua moto para a planilha calcular os custos com combustivel e a quantidade de combustivel necessário.
</t>
        </r>
      </text>
    </comment>
    <comment ref="M5" authorId="1" shapeId="0">
      <text>
        <r>
          <rPr>
            <sz val="9"/>
            <color indexed="81"/>
            <rFont val="Tahoma"/>
            <family val="2"/>
          </rPr>
          <t>Informe o quanto você possui de recursos financeiros para gastar em toda a viagem.</t>
        </r>
      </text>
    </comment>
    <comment ref="B7" authorId="1" shapeId="0">
      <text>
        <r>
          <rPr>
            <b/>
            <sz val="9"/>
            <color indexed="81"/>
            <rFont val="Tahoma"/>
            <family val="2"/>
          </rPr>
          <t>Campo Obrigatorio para desbloqueio do percurso.</t>
        </r>
        <r>
          <rPr>
            <sz val="9"/>
            <color indexed="81"/>
            <rFont val="Tahoma"/>
            <family val="2"/>
          </rPr>
          <t xml:space="preserve">
Digite a data de inicio da viagem. 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 - Dias Disponíveis
</t>
        </r>
        <r>
          <rPr>
            <sz val="9"/>
            <color indexed="81"/>
            <rFont val="Segoe UI"/>
            <family val="2"/>
          </rPr>
          <t>Insira o numero total de dias disponiveis que você possui para fazer a viagem.
Isso permitira que a planilha lhe informe se a programação esta dentro do prazo.</t>
        </r>
      </text>
    </comment>
    <comment ref="H7" authorId="1" shapeId="0">
      <text>
        <r>
          <rPr>
            <sz val="9"/>
            <color indexed="81"/>
            <rFont val="Tahoma"/>
            <family val="2"/>
          </rPr>
          <t xml:space="preserve">Preencha a previsão de durabilidade dos pneus </t>
        </r>
        <r>
          <rPr>
            <b/>
            <sz val="9"/>
            <color indexed="81"/>
            <rFont val="Tahoma"/>
            <family val="2"/>
          </rPr>
          <t>DIANTEIROS</t>
        </r>
        <r>
          <rPr>
            <sz val="9"/>
            <color indexed="81"/>
            <rFont val="Tahoma"/>
            <family val="2"/>
          </rPr>
          <t xml:space="preserve"> em km.</t>
        </r>
      </text>
    </comment>
    <comment ref="J7" authorId="1" shapeId="0">
      <text>
        <r>
          <rPr>
            <sz val="9"/>
            <color indexed="81"/>
            <rFont val="Tahoma"/>
            <family val="2"/>
          </rPr>
          <t xml:space="preserve">Preencha a previsão de durabilidade dos pneus </t>
        </r>
        <r>
          <rPr>
            <b/>
            <sz val="9"/>
            <color indexed="81"/>
            <rFont val="Tahoma"/>
            <family val="2"/>
          </rPr>
          <t>TRASEIROS</t>
        </r>
        <r>
          <rPr>
            <sz val="9"/>
            <color indexed="81"/>
            <rFont val="Tahoma"/>
            <family val="2"/>
          </rPr>
          <t xml:space="preserve"> em km.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Informe o total dos custos previstos para passagens aéreas.</t>
        </r>
      </text>
    </comment>
    <comment ref="M9" authorId="0" shapeId="0">
      <text>
        <r>
          <rPr>
            <sz val="9"/>
            <color indexed="81"/>
            <rFont val="Segoe UI"/>
            <family val="2"/>
          </rPr>
          <t>Informe o total de despesas previstas com seguros  pessoais e do veiculo.</t>
        </r>
      </text>
    </comment>
    <comment ref="M11" authorId="0" shapeId="0">
      <text>
        <r>
          <rPr>
            <sz val="9"/>
            <color indexed="81"/>
            <rFont val="Segoe UI"/>
            <family val="2"/>
          </rPr>
          <t>Despesas previstas com locação de veiculos (Motos ou Carros), imoveis, equipamentos, etc.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Cole aqui a URL (link) do roteiro feito no Google Map.
Campo não obrigatório.</t>
        </r>
      </text>
    </comment>
    <comment ref="M13" authorId="0" shapeId="0">
      <text>
        <r>
          <rPr>
            <sz val="9"/>
            <color indexed="81"/>
            <rFont val="Segoe UI"/>
            <family val="2"/>
          </rPr>
          <t>Informe aqui todas as previsões de despesas que podem ocorrer e que não estejam mencionadas nos demais campos da planilha.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 xml:space="preserve">DESTINO
</t>
        </r>
        <r>
          <rPr>
            <sz val="9"/>
            <color indexed="81"/>
            <rFont val="Tahoma"/>
            <family val="2"/>
          </rPr>
          <t>Digite o próximo destino. A planilha já ira lançar esse nome na próxima origem.</t>
        </r>
      </text>
    </comment>
    <comment ref="J17" authorId="0" shapeId="0">
      <text>
        <r>
          <rPr>
            <b/>
            <sz val="9"/>
            <color indexed="81"/>
            <rFont val="Segoe UI"/>
            <family val="2"/>
          </rPr>
          <t xml:space="preserve">PAÍS/ESTADO
</t>
        </r>
        <r>
          <rPr>
            <sz val="9"/>
            <color indexed="81"/>
            <rFont val="Segoe UI"/>
            <family val="2"/>
          </rPr>
          <t>Digite o país ou estado onde fica a cidade destino.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 xml:space="preserve">TRECHO
</t>
        </r>
        <r>
          <rPr>
            <sz val="9"/>
            <color indexed="81"/>
            <rFont val="Tahoma"/>
            <family val="2"/>
          </rPr>
          <t>Digite a quilometragem a ser percorrida nesse trecho ou nesse dia.</t>
        </r>
      </text>
    </comment>
    <comment ref="N17" authorId="2" shapeId="0">
      <text>
        <r>
          <rPr>
            <b/>
            <sz val="9"/>
            <color indexed="81"/>
            <rFont val="Tahoma"/>
            <family val="2"/>
          </rPr>
          <t>VALOR COMBUSTIVEL:</t>
        </r>
        <r>
          <rPr>
            <sz val="9"/>
            <color indexed="81"/>
            <rFont val="Tahoma"/>
            <family val="2"/>
          </rPr>
          <t xml:space="preserve">
Digite nessa campo o valor médio por litro de combustivel  no trecho.
</t>
        </r>
      </text>
    </comment>
    <comment ref="P17" authorId="0" shapeId="0">
      <text>
        <r>
          <rPr>
            <b/>
            <sz val="9"/>
            <color indexed="81"/>
            <rFont val="Segoe UI"/>
            <family val="2"/>
          </rPr>
          <t>DESPESAS DE PEDÁGIO</t>
        </r>
        <r>
          <rPr>
            <sz val="9"/>
            <color indexed="81"/>
            <rFont val="Segoe UI"/>
            <family val="2"/>
          </rPr>
          <t xml:space="preserve">
Insira nesse campo uma previsão das despesas totais de Pedagio nesse trecho ou data.</t>
        </r>
      </text>
    </comment>
    <comment ref="Q17" authorId="1" shapeId="0">
      <text>
        <r>
          <rPr>
            <b/>
            <sz val="9"/>
            <color indexed="81"/>
            <rFont val="Tahoma"/>
            <family val="2"/>
          </rPr>
          <t>Obrigatório o preenchimento desse campo para liberar o próximo trecho
Numero de Pernoites:</t>
        </r>
        <r>
          <rPr>
            <sz val="9"/>
            <color indexed="81"/>
            <rFont val="Tahoma"/>
            <family val="2"/>
          </rPr>
          <t xml:space="preserve">
Digite aqui o numero de diárias que ira ficar nessa localidade. Digite "0" (zero) caso não haja pernoite.</t>
        </r>
      </text>
    </comment>
    <comment ref="R17" authorId="1" shapeId="0">
      <text>
        <r>
          <rPr>
            <b/>
            <sz val="9"/>
            <color indexed="81"/>
            <rFont val="Tahoma"/>
            <family val="2"/>
          </rPr>
          <t>Utilize para descrever o nome do hotel que ira se hospedar.</t>
        </r>
      </text>
    </comment>
    <comment ref="T17" authorId="1" shapeId="0">
      <text>
        <r>
          <rPr>
            <b/>
            <sz val="9"/>
            <color indexed="81"/>
            <rFont val="Tahoma"/>
            <family val="2"/>
          </rPr>
          <t xml:space="preserve">CUSTO DE HOTEL
</t>
        </r>
        <r>
          <rPr>
            <sz val="9"/>
            <color indexed="81"/>
            <rFont val="Tahoma"/>
            <family val="2"/>
          </rPr>
          <t xml:space="preserve">Digite aqui o </t>
        </r>
        <r>
          <rPr>
            <b/>
            <sz val="9"/>
            <color indexed="81"/>
            <rFont val="Tahoma"/>
            <family val="2"/>
          </rPr>
          <t>custo total de todas as diárias</t>
        </r>
        <r>
          <rPr>
            <sz val="9"/>
            <color indexed="81"/>
            <rFont val="Tahoma"/>
            <family val="2"/>
          </rPr>
          <t xml:space="preserve"> realizadas nesse hotel.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U17" authorId="1" shapeId="0">
      <text>
        <r>
          <rPr>
            <b/>
            <sz val="9"/>
            <color indexed="81"/>
            <rFont val="Tahoma"/>
            <family val="2"/>
          </rPr>
          <t xml:space="preserve">DESPESAS ALIMENTAÇÃO
</t>
        </r>
        <r>
          <rPr>
            <sz val="9"/>
            <color indexed="81"/>
            <rFont val="Tahoma"/>
            <family val="2"/>
          </rPr>
          <t>Digite aqui a estimativa de custo total de todas as suas despesas de alimentação nessa data.</t>
        </r>
      </text>
    </comment>
    <comment ref="V17" authorId="0" shapeId="0">
      <text>
        <r>
          <rPr>
            <b/>
            <sz val="9"/>
            <color indexed="81"/>
            <rFont val="Segoe UI"/>
            <family val="2"/>
          </rPr>
          <t xml:space="preserve">DESPESAS DE PASSEIOS
</t>
        </r>
        <r>
          <rPr>
            <sz val="9"/>
            <color indexed="81"/>
            <rFont val="Segoe UI"/>
            <family val="2"/>
          </rPr>
          <t xml:space="preserve">Digite aqui a estimativa de custo total com os passeios feitos nessa data.
</t>
        </r>
        <r>
          <rPr>
            <b/>
            <sz val="9"/>
            <color indexed="81"/>
            <rFont val="Segoe UI"/>
            <family val="2"/>
          </rPr>
          <t>ATENÇÃO:</t>
        </r>
        <r>
          <rPr>
            <sz val="9"/>
            <color indexed="81"/>
            <rFont val="Segoe UI"/>
            <family val="2"/>
          </rPr>
          <t xml:space="preserve"> Os valores de custos lançados na planilha "Passeios" </t>
        </r>
        <r>
          <rPr>
            <b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automaticamente transferidos para essa célula.</t>
        </r>
      </text>
    </comment>
    <comment ref="W17" authorId="1" shapeId="0">
      <text>
        <r>
          <rPr>
            <b/>
            <sz val="9"/>
            <color indexed="81"/>
            <rFont val="Tahoma"/>
            <family val="2"/>
          </rPr>
          <t>DESPESAS EXTRAS</t>
        </r>
        <r>
          <rPr>
            <sz val="9"/>
            <color indexed="81"/>
            <rFont val="Tahoma"/>
            <family val="2"/>
          </rPr>
          <t xml:space="preserve">
Digite aqui a estimativa de custo total de despesas extras, como, borracharia, despesas mecânicas, travessia em balsas, etc.</t>
        </r>
      </text>
    </comment>
  </commentList>
</comments>
</file>

<file path=xl/comments2.xml><?xml version="1.0" encoding="utf-8"?>
<comments xmlns="http://schemas.openxmlformats.org/spreadsheetml/2006/main">
  <authors>
    <author>McDonald's Brasil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Ano do Calendário:</t>
        </r>
        <r>
          <rPr>
            <sz val="8"/>
            <color indexed="81"/>
            <rFont val="Tahoma"/>
            <family val="2"/>
          </rPr>
          <t xml:space="preserve">
Digite aqui o ano de interesse (4 dígitos) ou utilize o controle ao lado.</t>
        </r>
      </text>
    </comment>
  </commentList>
</comments>
</file>

<file path=xl/comments3.xml><?xml version="1.0" encoding="utf-8"?>
<comments xmlns="http://schemas.openxmlformats.org/spreadsheetml/2006/main">
  <authors>
    <author>Fernando de Carvalho Navarro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Curiosidade:</t>
        </r>
        <r>
          <rPr>
            <sz val="8"/>
            <color indexed="81"/>
            <rFont val="Tahoma"/>
            <family val="2"/>
          </rPr>
          <t xml:space="preserve">
Todos os feriados eclesiásticos são calculados em função da Páscoa e esta é calculada em função da Lua Cheia.
A PÁSCOA ocorre no primeiro domingo após a primeira lua cheia que se verificar a partir de 21 de março (início da Primavera). A SEXTA-FEIRA DA PAIXÃO é a que antecede o DOMINGO DE PÁSCOA. A terça-feira de CARNAVAL ocorre 47 dias antes da Páscoa e a quinta-feira do CORPUS CHRISTI ocorre 60 dias após a Páscoa. DOMINGO DE RAMOS é o que antecede o domingo da Páscoa, a QUARESMA são os 40 dias entre o Carnaval e o DOMINGO DE RAMOS, a quinta-feira da ASCENSÃO ocorre 39 dias após a Páscoa e o domingo de PENTECOSTES vem 10 dias depois da Ascensão.</t>
        </r>
      </text>
    </comment>
  </commentList>
</comments>
</file>

<file path=xl/sharedStrings.xml><?xml version="1.0" encoding="utf-8"?>
<sst xmlns="http://schemas.openxmlformats.org/spreadsheetml/2006/main" count="215" uniqueCount="160">
  <si>
    <t>KM</t>
  </si>
  <si>
    <t>HOTEL</t>
  </si>
  <si>
    <t>COMBUSTIVEL</t>
  </si>
  <si>
    <t>PERCURSO</t>
  </si>
  <si>
    <t>Custo</t>
  </si>
  <si>
    <t>Acumulado</t>
  </si>
  <si>
    <t>Nome Hotel</t>
  </si>
  <si>
    <t>TOTAL CUSTOS</t>
  </si>
  <si>
    <t>NO DIA</t>
  </si>
  <si>
    <t>Trecho</t>
  </si>
  <si>
    <t>Data</t>
  </si>
  <si>
    <t>Origem</t>
  </si>
  <si>
    <t>Destino</t>
  </si>
  <si>
    <t>Litros</t>
  </si>
  <si>
    <t>Valor</t>
  </si>
  <si>
    <t>SEU NOME</t>
  </si>
  <si>
    <t>S</t>
  </si>
  <si>
    <t>T</t>
  </si>
  <si>
    <t>Q</t>
  </si>
  <si>
    <t>D</t>
  </si>
  <si>
    <t>CIDADE ORIGEM</t>
  </si>
  <si>
    <t>Feriados Nacionais</t>
  </si>
  <si>
    <t>Tipo</t>
  </si>
  <si>
    <t>Ocorrência</t>
  </si>
  <si>
    <t>Confraternização Universal</t>
  </si>
  <si>
    <t>Fixo</t>
  </si>
  <si>
    <t>Dia 1 de Janeiro</t>
  </si>
  <si>
    <t>Paixão de Cristo</t>
  </si>
  <si>
    <t>Móvel</t>
  </si>
  <si>
    <t>2 dias antes da Páscoa</t>
  </si>
  <si>
    <t>Páscoa</t>
  </si>
  <si>
    <t>Depende das fases da Lua</t>
  </si>
  <si>
    <t>Tiradentes</t>
  </si>
  <si>
    <t>Dia 21 de Abril</t>
  </si>
  <si>
    <t>Dia do Trabalho</t>
  </si>
  <si>
    <t>Dia 1 de Maio</t>
  </si>
  <si>
    <t>Corpus Christi</t>
  </si>
  <si>
    <t>60 dias após a Páscoa</t>
  </si>
  <si>
    <t>Independência do Brasil</t>
  </si>
  <si>
    <t>Dia 7 de Setembro</t>
  </si>
  <si>
    <t>Nossa Senhora da Aparecida</t>
  </si>
  <si>
    <t>Dia 12 de Outubro</t>
  </si>
  <si>
    <t>Finados</t>
  </si>
  <si>
    <t>Dia 2 de Novembro</t>
  </si>
  <si>
    <t>Proclamação da República</t>
  </si>
  <si>
    <t>Dia 15 de Novembro</t>
  </si>
  <si>
    <t>Natal</t>
  </si>
  <si>
    <t>Dia 25 de Dezembro</t>
  </si>
  <si>
    <t>Datas Comemorativas</t>
  </si>
  <si>
    <t>Carnaval (Ponto Facultativo)</t>
  </si>
  <si>
    <t>47 dias antes da Páscoa</t>
  </si>
  <si>
    <t>Domingo de Ramos</t>
  </si>
  <si>
    <t>Domingo anterior à Páscoa</t>
  </si>
  <si>
    <t>Sábado de Aleluia</t>
  </si>
  <si>
    <t>Sábado anterior à Páscoa</t>
  </si>
  <si>
    <t>Dia das Mães</t>
  </si>
  <si>
    <t>2º domingo de Maio</t>
  </si>
  <si>
    <t>Dia dos Namorados</t>
  </si>
  <si>
    <t>Dia 12 de Junho</t>
  </si>
  <si>
    <t>Dia das Crianças</t>
  </si>
  <si>
    <t>Dia dos Pais</t>
  </si>
  <si>
    <t>2º domingo de Agosto</t>
  </si>
  <si>
    <t>Dia da Secretária</t>
  </si>
  <si>
    <t>Dia 30 de Setembro</t>
  </si>
  <si>
    <t>Feriados nos EUA</t>
  </si>
  <si>
    <t>Martin Luther King Day</t>
  </si>
  <si>
    <t>3ª segunda-feira de Janeiro</t>
  </si>
  <si>
    <t>President's Day</t>
  </si>
  <si>
    <t>3ª segunda-feira de Fevereiro</t>
  </si>
  <si>
    <t>Memorial Day</t>
  </si>
  <si>
    <t>Última segunda-feira de Maio</t>
  </si>
  <si>
    <t>Independence Day</t>
  </si>
  <si>
    <t>4º dia de Julho</t>
  </si>
  <si>
    <t>Labor Day</t>
  </si>
  <si>
    <t>1ª segunda-feira de Setembro</t>
  </si>
  <si>
    <t>Columbus Day</t>
  </si>
  <si>
    <t>2ª segunda-feira de Outubro</t>
  </si>
  <si>
    <t>Veteran's Day</t>
  </si>
  <si>
    <t>11º dia de Novembro</t>
  </si>
  <si>
    <t>Thanksgiving</t>
  </si>
  <si>
    <t>4ª quinta-feira de Novembro</t>
  </si>
  <si>
    <t>Ano:</t>
  </si>
  <si>
    <t>Feriados Nacionais:</t>
  </si>
  <si>
    <t>Datas Comemorativas:</t>
  </si>
  <si>
    <t>Feriados nos EUA:</t>
  </si>
  <si>
    <t>Calendário</t>
  </si>
  <si>
    <t>Ultimo Dia</t>
  </si>
  <si>
    <t>EXTRAS</t>
  </si>
  <si>
    <t>Alimentação</t>
  </si>
  <si>
    <t>ALIMENTAÇÃO</t>
  </si>
  <si>
    <t>URL Google Map</t>
  </si>
  <si>
    <t>DATA SAÍDA</t>
  </si>
  <si>
    <t>AUTONOMIA RESTANTE DOS PNEUS</t>
  </si>
  <si>
    <t>DIFERENÇA</t>
  </si>
  <si>
    <t>DATA LIM RETORNO</t>
  </si>
  <si>
    <t>TOTAL KM RODADOS</t>
  </si>
  <si>
    <t>País/Estado</t>
  </si>
  <si>
    <t>DIAS DE VIAGEM</t>
  </si>
  <si>
    <t>Cidade</t>
  </si>
  <si>
    <t>Nome do Local/Passeio</t>
  </si>
  <si>
    <t>Observações</t>
  </si>
  <si>
    <t>Endereço</t>
  </si>
  <si>
    <t>PASSEIOS E LOCAIS PARA VISITAR</t>
  </si>
  <si>
    <t>Horário</t>
  </si>
  <si>
    <t>PRETENSÃO DE DESPESAS</t>
  </si>
  <si>
    <t>PLANILHA PARA PLANEJAMENTO DE ROTEIROS E CUSTOS DE VIAGEM TRILHEIROSONLINE</t>
  </si>
  <si>
    <t>PEDAGIO</t>
  </si>
  <si>
    <t>PEDÁGIO</t>
  </si>
  <si>
    <t>PREVISÃO DE DESPESAS</t>
  </si>
  <si>
    <t>DATA FINAL VIAGEM</t>
  </si>
  <si>
    <t>NUMERO DE TRECHOS</t>
  </si>
  <si>
    <t>Extras</t>
  </si>
  <si>
    <t>DIAS DISPONÍVEIS</t>
  </si>
  <si>
    <t>Preencha todos os "Campos em Branco"</t>
  </si>
  <si>
    <t>Dia</t>
  </si>
  <si>
    <t>Pernoites</t>
  </si>
  <si>
    <t xml:space="preserve">    CONSUMO KM/LITRO</t>
  </si>
  <si>
    <t>DIAS RESTANTES</t>
  </si>
  <si>
    <t>VEÍCULO</t>
  </si>
  <si>
    <t>DESPESAS AÉREAS</t>
  </si>
  <si>
    <t>DESPESAS COM SEGUROS</t>
  </si>
  <si>
    <t>DESPESAS COM LOCAÇÃO</t>
  </si>
  <si>
    <t>OUTRAS DESPESAS</t>
  </si>
  <si>
    <t>DESPESAS HOTEL</t>
  </si>
  <si>
    <t>DESPESAS COMBUSTIVEL</t>
  </si>
  <si>
    <t>LITROS COMBUSTIVEL</t>
  </si>
  <si>
    <t>AUTONOMIA PNEU - D</t>
  </si>
  <si>
    <t xml:space="preserve">AUTONOMIA PNEU - T </t>
  </si>
  <si>
    <t>ALIMENTAÇÃO/PASSEIOS/EXTRAS</t>
  </si>
  <si>
    <t>Passeios</t>
  </si>
  <si>
    <t>PASSEIOS</t>
  </si>
  <si>
    <r>
      <rPr>
        <b/>
        <sz val="12"/>
        <color rgb="FFFF0000"/>
        <rFont val="Calibri"/>
        <family val="2"/>
      </rPr>
      <t xml:space="preserve">                                ATENÇÃO</t>
    </r>
    <r>
      <rPr>
        <sz val="12"/>
        <color rgb="FF0B71AA"/>
        <rFont val="Calibri"/>
        <family val="2"/>
      </rPr>
      <t xml:space="preserve"> </t>
    </r>
    <r>
      <rPr>
        <sz val="9"/>
        <color rgb="FF0B71AA"/>
        <rFont val="Calibri"/>
        <family val="2"/>
      </rPr>
      <t xml:space="preserve">
Para que a planilha funcione corretamente, devem ser preenchidos todos os campos na cor "branca".  Demais são calculados ou preenchidos automaticamente.
 </t>
    </r>
    <r>
      <rPr>
        <b/>
        <sz val="9"/>
        <color rgb="FFFF0000"/>
        <rFont val="Calibri"/>
        <family val="2"/>
      </rPr>
      <t>"Qtde Pernoites" é um campo obrigatorio de preenchimento</t>
    </r>
    <r>
      <rPr>
        <sz val="9"/>
        <color rgb="FF0B71AA"/>
        <rFont val="Calibri"/>
        <family val="2"/>
      </rPr>
      <t xml:space="preserve"> para que a planilha libere o proximo trecho a ser calculado.  Não deixe em branco!
</t>
    </r>
    <r>
      <rPr>
        <b/>
        <u/>
        <sz val="9"/>
        <color rgb="FF0B71AA"/>
        <rFont val="Calibri"/>
        <family val="2"/>
      </rPr>
      <t>Digite "0" caso não faça nenhuma pernoite nesse trecho</t>
    </r>
    <r>
      <rPr>
        <u/>
        <sz val="9"/>
        <color rgb="FF0B71AA"/>
        <rFont val="Calibri"/>
        <family val="2"/>
      </rPr>
      <t>.</t>
    </r>
  </si>
  <si>
    <t>ARG</t>
  </si>
  <si>
    <t>Mendoza</t>
  </si>
  <si>
    <t>CHI</t>
  </si>
  <si>
    <t>BRA</t>
  </si>
  <si>
    <t>Antofagasta</t>
  </si>
  <si>
    <t>San Pedro do Atacama</t>
  </si>
  <si>
    <t>Tilcara</t>
  </si>
  <si>
    <t>Cafayate</t>
  </si>
  <si>
    <t>Corrientes</t>
  </si>
  <si>
    <t>Termas Rio Hondo</t>
  </si>
  <si>
    <t xml:space="preserve">youtube/trilheirosonline                                                 instagram @alcionifritz                                       www.trilheirosonline.com </t>
  </si>
  <si>
    <t>Copiapó</t>
  </si>
  <si>
    <t>Belo Horizonte</t>
  </si>
  <si>
    <t>Marilia</t>
  </si>
  <si>
    <t>Piracicaba</t>
  </si>
  <si>
    <t>Porto Uniao</t>
  </si>
  <si>
    <t>SP</t>
  </si>
  <si>
    <t>PR</t>
  </si>
  <si>
    <t>Santa Maria</t>
  </si>
  <si>
    <t>RS</t>
  </si>
  <si>
    <t>Federal</t>
  </si>
  <si>
    <t>Córdova</t>
  </si>
  <si>
    <t>Vina Del Mar</t>
  </si>
  <si>
    <t>Salta</t>
  </si>
  <si>
    <t>Foz do Iguaçu</t>
  </si>
  <si>
    <t>MG</t>
  </si>
  <si>
    <t>HONDA NC750</t>
  </si>
  <si>
    <t>ATACAMA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</si>
</sst>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dd/mm/yy;@"/>
    <numFmt numFmtId="166" formatCode="_(* #,##0_);_(* \(#,##0\);_(* &quot;-&quot;??_);_(@_)"/>
    <numFmt numFmtId="167" formatCode="dddd\,\ dd/mm/yyyy"/>
    <numFmt numFmtId="168" formatCode="mmmm"/>
    <numFmt numFmtId="169" formatCode="d;;;"/>
    <numFmt numFmtId="170" formatCode="h:mm;@"/>
    <numFmt numFmtId="171" formatCode="0.0"/>
    <numFmt numFmtId="172" formatCode="#,##0.0"/>
  </numFmts>
  <fonts count="4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rebuchet MS"/>
      <family val="2"/>
    </font>
    <font>
      <b/>
      <sz val="16"/>
      <color indexed="12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2"/>
      <color indexed="9"/>
      <name val="Tahoma"/>
      <family val="2"/>
    </font>
    <font>
      <sz val="10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9"/>
      <color indexed="2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theme="0"/>
      <name val="Tahoma"/>
      <family val="2"/>
    </font>
    <font>
      <sz val="10"/>
      <color theme="0"/>
      <name val="Tahoma"/>
      <family val="2"/>
    </font>
    <font>
      <b/>
      <sz val="16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Space Bd BT"/>
      <family val="5"/>
    </font>
    <font>
      <sz val="9"/>
      <color rgb="FF0B71AA"/>
      <name val="Calibri"/>
      <family val="2"/>
    </font>
    <font>
      <b/>
      <u/>
      <sz val="9"/>
      <color rgb="FF0B71AA"/>
      <name val="Calibri"/>
      <family val="2"/>
    </font>
    <font>
      <u/>
      <sz val="9"/>
      <color rgb="FF0B71AA"/>
      <name val="Calibri"/>
      <family val="2"/>
    </font>
    <font>
      <b/>
      <u/>
      <sz val="11"/>
      <color rgb="FF0B71AA"/>
      <name val="Calibri"/>
      <family val="2"/>
      <scheme val="minor"/>
    </font>
    <font>
      <b/>
      <sz val="9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B71AA"/>
      <name val="Calibri"/>
      <family val="2"/>
    </font>
    <font>
      <sz val="18"/>
      <color theme="0"/>
      <name val="Space Bd BT"/>
      <family val="5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71AA"/>
        <bgColor indexed="64"/>
      </patternFill>
    </fill>
    <fill>
      <patternFill patternType="solid">
        <fgColor theme="3"/>
        <bgColor indexed="64"/>
      </patternFill>
    </fill>
  </fills>
  <borders count="93">
    <border>
      <left/>
      <right/>
      <top/>
      <bottom/>
      <diagonal/>
    </border>
    <border>
      <left style="hair">
        <color indexed="42"/>
      </left>
      <right/>
      <top/>
      <bottom/>
      <diagonal/>
    </border>
    <border>
      <left style="medium">
        <color indexed="19"/>
      </left>
      <right style="hair">
        <color indexed="19"/>
      </right>
      <top style="medium">
        <color indexed="19"/>
      </top>
      <bottom style="hair">
        <color indexed="19"/>
      </bottom>
      <diagonal/>
    </border>
    <border>
      <left style="hair">
        <color indexed="19"/>
      </left>
      <right style="hair">
        <color indexed="19"/>
      </right>
      <top style="medium">
        <color indexed="19"/>
      </top>
      <bottom style="hair">
        <color indexed="19"/>
      </bottom>
      <diagonal/>
    </border>
    <border>
      <left style="hair">
        <color indexed="19"/>
      </left>
      <right/>
      <top style="medium">
        <color indexed="19"/>
      </top>
      <bottom style="hair">
        <color indexed="19"/>
      </bottom>
      <diagonal/>
    </border>
    <border>
      <left style="hair">
        <color indexed="19"/>
      </left>
      <right style="medium">
        <color indexed="19"/>
      </right>
      <top style="medium">
        <color indexed="19"/>
      </top>
      <bottom style="hair">
        <color indexed="19"/>
      </bottom>
      <diagonal/>
    </border>
    <border>
      <left style="medium">
        <color indexed="19"/>
      </left>
      <right style="hair">
        <color indexed="19"/>
      </right>
      <top style="hair">
        <color indexed="19"/>
      </top>
      <bottom style="hair">
        <color indexed="19"/>
      </bottom>
      <diagonal/>
    </border>
    <border>
      <left style="hair">
        <color indexed="19"/>
      </left>
      <right style="hair">
        <color indexed="19"/>
      </right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 style="medium">
        <color indexed="19"/>
      </right>
      <top style="hair">
        <color indexed="19"/>
      </top>
      <bottom style="hair">
        <color indexed="19"/>
      </bottom>
      <diagonal/>
    </border>
    <border>
      <left style="medium">
        <color indexed="19"/>
      </left>
      <right style="hair">
        <color indexed="19"/>
      </right>
      <top style="hair">
        <color indexed="19"/>
      </top>
      <bottom style="medium">
        <color indexed="19"/>
      </bottom>
      <diagonal/>
    </border>
    <border>
      <left style="hair">
        <color indexed="19"/>
      </left>
      <right style="hair">
        <color indexed="19"/>
      </right>
      <top style="hair">
        <color indexed="19"/>
      </top>
      <bottom style="medium">
        <color indexed="19"/>
      </bottom>
      <diagonal/>
    </border>
    <border>
      <left style="hair">
        <color indexed="19"/>
      </left>
      <right/>
      <top style="hair">
        <color indexed="19"/>
      </top>
      <bottom style="medium">
        <color indexed="19"/>
      </bottom>
      <diagonal/>
    </border>
    <border>
      <left style="hair">
        <color indexed="19"/>
      </left>
      <right style="medium">
        <color indexed="19"/>
      </right>
      <top style="hair">
        <color indexed="19"/>
      </top>
      <bottom style="medium">
        <color indexed="19"/>
      </bottom>
      <diagonal/>
    </border>
    <border>
      <left style="medium">
        <color indexed="53"/>
      </left>
      <right style="hair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 style="medium">
        <color indexed="53"/>
      </right>
      <top style="medium">
        <color indexed="53"/>
      </top>
      <bottom style="hair">
        <color indexed="53"/>
      </bottom>
      <diagonal/>
    </border>
    <border>
      <left style="medium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 style="medium">
        <color indexed="53"/>
      </right>
      <top style="hair">
        <color indexed="53"/>
      </top>
      <bottom style="hair">
        <color indexed="53"/>
      </bottom>
      <diagonal/>
    </border>
    <border>
      <left style="medium">
        <color indexed="53"/>
      </left>
      <right style="hair">
        <color indexed="53"/>
      </right>
      <top style="hair">
        <color indexed="53"/>
      </top>
      <bottom style="medium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medium">
        <color indexed="53"/>
      </bottom>
      <diagonal/>
    </border>
    <border>
      <left style="hair">
        <color indexed="53"/>
      </left>
      <right style="medium">
        <color indexed="53"/>
      </right>
      <top style="hair">
        <color indexed="53"/>
      </top>
      <bottom style="medium">
        <color indexed="53"/>
      </bottom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medium">
        <color indexed="21"/>
      </top>
      <bottom style="hair">
        <color indexed="21"/>
      </bottom>
      <diagonal/>
    </border>
    <border>
      <left style="hair">
        <color indexed="21"/>
      </left>
      <right style="medium">
        <color indexed="21"/>
      </right>
      <top style="medium">
        <color indexed="21"/>
      </top>
      <bottom style="hair">
        <color indexed="21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hair">
        <color indexed="21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medium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medium">
        <color indexed="21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9"/>
      </bottom>
      <diagonal/>
    </border>
    <border>
      <left/>
      <right/>
      <top style="medium">
        <color indexed="23"/>
      </top>
      <bottom style="medium">
        <color indexed="9"/>
      </bottom>
      <diagonal/>
    </border>
    <border>
      <left/>
      <right style="medium">
        <color indexed="9"/>
      </right>
      <top style="medium">
        <color indexed="23"/>
      </top>
      <bottom style="medium">
        <color indexed="9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ashDot">
        <color rgb="FFFF0000"/>
      </left>
      <right/>
      <top style="dashDot">
        <color rgb="FFFF0000"/>
      </top>
      <bottom style="dashDot">
        <color rgb="FFFF0000"/>
      </bottom>
      <diagonal/>
    </border>
    <border>
      <left/>
      <right style="dashDot">
        <color rgb="FFFF0000"/>
      </right>
      <top style="dashDot">
        <color rgb="FFFF0000"/>
      </top>
      <bottom style="dashDot">
        <color rgb="FFFF000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rgb="FF0B71AA"/>
      </left>
      <right style="thin">
        <color theme="3" tint="0.39994506668294322"/>
      </right>
      <top style="medium">
        <color rgb="FF0B71AA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B71AA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rgb="FF0B71AA"/>
      </right>
      <top style="medium">
        <color rgb="FF0B71AA"/>
      </top>
      <bottom style="thin">
        <color theme="3" tint="0.39994506668294322"/>
      </bottom>
      <diagonal/>
    </border>
    <border>
      <left style="medium">
        <color rgb="FF0B71AA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rgb="FF0B71AA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rgb="FF0B71AA"/>
      </left>
      <right style="thin">
        <color theme="3" tint="0.39994506668294322"/>
      </right>
      <top style="thin">
        <color theme="3" tint="0.39994506668294322"/>
      </top>
      <bottom style="medium">
        <color rgb="FF0B71AA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rgb="FF0B71AA"/>
      </bottom>
      <diagonal/>
    </border>
    <border>
      <left style="thin">
        <color theme="3" tint="0.39994506668294322"/>
      </left>
      <right style="medium">
        <color rgb="FF0B71AA"/>
      </right>
      <top style="thin">
        <color theme="3" tint="0.39994506668294322"/>
      </top>
      <bottom style="medium">
        <color rgb="FF0B71AA"/>
      </bottom>
      <diagonal/>
    </border>
    <border>
      <left style="medium">
        <color rgb="FF0B71AA"/>
      </left>
      <right/>
      <top/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rgb="FF0B71AA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medium">
        <color rgb="FF0B71AA"/>
      </bottom>
      <diagonal/>
    </border>
    <border>
      <left style="medium">
        <color rgb="FF0B71AA"/>
      </left>
      <right/>
      <top style="medium">
        <color rgb="FF0B71AA"/>
      </top>
      <bottom style="medium">
        <color rgb="FF0B71AA"/>
      </bottom>
      <diagonal/>
    </border>
    <border>
      <left/>
      <right/>
      <top style="medium">
        <color rgb="FF0B71AA"/>
      </top>
      <bottom style="medium">
        <color rgb="FF0B71AA"/>
      </bottom>
      <diagonal/>
    </border>
    <border>
      <left/>
      <right style="medium">
        <color rgb="FF0B71AA"/>
      </right>
      <top style="medium">
        <color rgb="FF0B71AA"/>
      </top>
      <bottom style="medium">
        <color rgb="FF0B71AA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rgb="FF0B71AA"/>
      </right>
      <top style="thin">
        <color theme="3" tint="0.39994506668294322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rgb="FF0B71AA"/>
      </left>
      <right style="medium">
        <color rgb="FF0B71AA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rgb="FF0B71AA"/>
      </left>
      <right style="medium">
        <color rgb="FF0B71AA"/>
      </right>
      <top style="thin">
        <color theme="3" tint="0.39994506668294322"/>
      </top>
      <bottom style="medium">
        <color rgb="FF0B71AA"/>
      </bottom>
      <diagonal/>
    </border>
    <border>
      <left/>
      <right/>
      <top style="dashDot">
        <color rgb="FFFF0000"/>
      </top>
      <bottom style="dashDot">
        <color rgb="FFFF0000"/>
      </bottom>
      <diagonal/>
    </border>
    <border>
      <left/>
      <right/>
      <top style="medium">
        <color rgb="FF0B71AA"/>
      </top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91454817346722"/>
      </right>
      <top style="medium">
        <color rgb="FF0B71AA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medium">
        <color rgb="FF0B71AA"/>
      </top>
      <bottom style="thin">
        <color theme="3" tint="0.39994506668294322"/>
      </bottom>
      <diagonal/>
    </border>
    <border>
      <left style="medium">
        <color theme="3" tint="0.39991454817346722"/>
      </left>
      <right style="thin">
        <color theme="3" tint="0.39994506668294322"/>
      </right>
      <top style="medium">
        <color rgb="FF0B71AA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 tint="0.39991454817346722"/>
      </right>
      <top style="medium">
        <color rgb="FF0B71AA"/>
      </top>
      <bottom style="thin">
        <color theme="3" tint="0.39994506668294322"/>
      </bottom>
      <diagonal/>
    </border>
    <border>
      <left/>
      <right style="medium">
        <color rgb="FF0B71AA"/>
      </right>
      <top style="medium">
        <color rgb="FF0B71AA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medium">
        <color rgb="FF0B71AA"/>
      </top>
      <bottom style="thin">
        <color theme="3" tint="0.39994506668294322"/>
      </bottom>
      <diagonal/>
    </border>
    <border>
      <left/>
      <right style="medium">
        <color theme="3" tint="0.39991454817346722"/>
      </right>
      <top style="medium">
        <color rgb="FF0B71AA"/>
      </top>
      <bottom style="thin">
        <color theme="3" tint="0.39994506668294322"/>
      </bottom>
      <diagonal/>
    </border>
    <border>
      <left style="medium">
        <color theme="3" tint="0.39988402966399123"/>
      </left>
      <right style="medium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8402966399123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">
    <xf numFmtId="0" fontId="0" fillId="0" borderId="0"/>
    <xf numFmtId="0" fontId="18" fillId="8" borderId="0" applyNumberFormat="0" applyBorder="0" applyAlignment="0" applyProtection="0"/>
    <xf numFmtId="0" fontId="21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238">
    <xf numFmtId="0" fontId="0" fillId="0" borderId="0" xfId="0"/>
    <xf numFmtId="2" fontId="0" fillId="0" borderId="0" xfId="0" applyNumberFormat="1"/>
    <xf numFmtId="0" fontId="24" fillId="0" borderId="0" xfId="0" applyFont="1"/>
    <xf numFmtId="4" fontId="0" fillId="0" borderId="0" xfId="0" applyNumberFormat="1"/>
    <xf numFmtId="164" fontId="18" fillId="0" borderId="0" xfId="3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167" fontId="5" fillId="0" borderId="7" xfId="0" applyNumberFormat="1" applyFont="1" applyBorder="1"/>
    <xf numFmtId="167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8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7" fontId="5" fillId="0" borderId="11" xfId="0" applyNumberFormat="1" applyFont="1" applyBorder="1"/>
    <xf numFmtId="167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167" fontId="5" fillId="0" borderId="18" xfId="0" applyNumberFormat="1" applyFont="1" applyBorder="1"/>
    <xf numFmtId="167" fontId="5" fillId="0" borderId="18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 applyAlignment="1">
      <alignment horizontal="left"/>
    </xf>
    <xf numFmtId="167" fontId="5" fillId="0" borderId="21" xfId="0" applyNumberFormat="1" applyFont="1" applyBorder="1"/>
    <xf numFmtId="167" fontId="5" fillId="0" borderId="21" xfId="0" applyNumberFormat="1" applyFont="1" applyBorder="1" applyAlignment="1">
      <alignment horizontal="center"/>
    </xf>
    <xf numFmtId="0" fontId="5" fillId="0" borderId="22" xfId="0" applyFont="1" applyBorder="1"/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5" fillId="0" borderId="26" xfId="0" applyFont="1" applyBorder="1" applyAlignment="1">
      <alignment horizontal="left"/>
    </xf>
    <xf numFmtId="167" fontId="5" fillId="0" borderId="27" xfId="0" applyNumberFormat="1" applyFont="1" applyBorder="1"/>
    <xf numFmtId="167" fontId="5" fillId="0" borderId="27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 applyAlignment="1">
      <alignment horizontal="left"/>
    </xf>
    <xf numFmtId="167" fontId="5" fillId="0" borderId="30" xfId="0" applyNumberFormat="1" applyFont="1" applyBorder="1"/>
    <xf numFmtId="167" fontId="5" fillId="0" borderId="30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167" fontId="5" fillId="0" borderId="32" xfId="0" applyNumberFormat="1" applyFont="1" applyBorder="1"/>
    <xf numFmtId="167" fontId="5" fillId="0" borderId="32" xfId="0" applyNumberFormat="1" applyFont="1" applyBorder="1" applyAlignment="1">
      <alignment horizontal="center"/>
    </xf>
    <xf numFmtId="0" fontId="5" fillId="0" borderId="33" xfId="0" applyFont="1" applyBorder="1"/>
    <xf numFmtId="0" fontId="5" fillId="6" borderId="0" xfId="0" applyFont="1" applyFill="1"/>
    <xf numFmtId="0" fontId="11" fillId="6" borderId="0" xfId="0" applyFont="1" applyFill="1"/>
    <xf numFmtId="0" fontId="12" fillId="0" borderId="34" xfId="0" applyFont="1" applyBorder="1" applyAlignment="1">
      <alignment horizontal="right" vertical="center"/>
    </xf>
    <xf numFmtId="0" fontId="13" fillId="7" borderId="35" xfId="0" applyFont="1" applyFill="1" applyBorder="1" applyAlignment="1" applyProtection="1">
      <alignment horizontal="center" vertical="center"/>
      <protection locked="0"/>
    </xf>
    <xf numFmtId="0" fontId="12" fillId="7" borderId="35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14" fillId="6" borderId="36" xfId="0" applyFont="1" applyFill="1" applyBorder="1" applyAlignment="1">
      <alignment horizontal="center"/>
    </xf>
    <xf numFmtId="0" fontId="14" fillId="6" borderId="37" xfId="0" applyFont="1" applyFill="1" applyBorder="1" applyAlignment="1">
      <alignment horizontal="center"/>
    </xf>
    <xf numFmtId="0" fontId="14" fillId="6" borderId="38" xfId="0" applyFont="1" applyFill="1" applyBorder="1" applyAlignment="1">
      <alignment horizontal="center"/>
    </xf>
    <xf numFmtId="169" fontId="5" fillId="0" borderId="39" xfId="0" applyNumberFormat="1" applyFont="1" applyBorder="1" applyAlignment="1">
      <alignment horizontal="center" vertical="center"/>
    </xf>
    <xf numFmtId="0" fontId="5" fillId="0" borderId="0" xfId="0" applyNumberFormat="1" applyFont="1"/>
    <xf numFmtId="169" fontId="27" fillId="11" borderId="39" xfId="0" applyNumberFormat="1" applyFont="1" applyFill="1" applyBorder="1" applyAlignment="1">
      <alignment horizontal="center" vertical="center"/>
    </xf>
    <xf numFmtId="0" fontId="28" fillId="11" borderId="0" xfId="0" applyFont="1" applyFill="1"/>
    <xf numFmtId="0" fontId="29" fillId="11" borderId="0" xfId="0" applyFont="1" applyFill="1"/>
    <xf numFmtId="0" fontId="28" fillId="11" borderId="0" xfId="0" applyFont="1" applyFill="1" applyAlignment="1">
      <alignment horizontal="right"/>
    </xf>
    <xf numFmtId="168" fontId="14" fillId="12" borderId="36" xfId="0" applyNumberFormat="1" applyFont="1" applyFill="1" applyBorder="1" applyAlignment="1">
      <alignment horizontal="centerContinuous"/>
    </xf>
    <xf numFmtId="0" fontId="14" fillId="12" borderId="37" xfId="0" applyFont="1" applyFill="1" applyBorder="1" applyAlignment="1">
      <alignment horizontal="centerContinuous"/>
    </xf>
    <xf numFmtId="0" fontId="14" fillId="12" borderId="38" xfId="0" applyFont="1" applyFill="1" applyBorder="1" applyAlignment="1">
      <alignment horizontal="centerContinuous"/>
    </xf>
    <xf numFmtId="0" fontId="0" fillId="0" borderId="0" xfId="0" applyProtection="1"/>
    <xf numFmtId="0" fontId="34" fillId="14" borderId="62" xfId="1" applyFont="1" applyFill="1" applyBorder="1" applyAlignment="1">
      <alignment horizontal="center"/>
    </xf>
    <xf numFmtId="0" fontId="34" fillId="14" borderId="58" xfId="1" applyFont="1" applyFill="1" applyBorder="1" applyAlignment="1">
      <alignment horizontal="center"/>
    </xf>
    <xf numFmtId="0" fontId="36" fillId="9" borderId="62" xfId="1" applyFont="1" applyFill="1" applyBorder="1" applyAlignment="1">
      <alignment horizontal="center"/>
    </xf>
    <xf numFmtId="165" fontId="36" fillId="9" borderId="58" xfId="1" applyNumberFormat="1" applyFont="1" applyFill="1" applyBorder="1" applyAlignment="1" applyProtection="1">
      <alignment horizontal="center"/>
    </xf>
    <xf numFmtId="1" fontId="36" fillId="9" borderId="58" xfId="1" applyNumberFormat="1" applyFont="1" applyFill="1" applyBorder="1" applyAlignment="1" applyProtection="1">
      <alignment horizontal="center"/>
    </xf>
    <xf numFmtId="0" fontId="36" fillId="0" borderId="63" xfId="1" applyFont="1" applyFill="1" applyBorder="1" applyAlignment="1" applyProtection="1">
      <alignment horizontal="center"/>
      <protection locked="0"/>
    </xf>
    <xf numFmtId="3" fontId="36" fillId="0" borderId="62" xfId="1" applyNumberFormat="1" applyFont="1" applyFill="1" applyBorder="1" applyAlignment="1" applyProtection="1">
      <alignment horizontal="center"/>
      <protection locked="0"/>
    </xf>
    <xf numFmtId="3" fontId="36" fillId="9" borderId="63" xfId="1" applyNumberFormat="1" applyFont="1" applyFill="1" applyBorder="1" applyAlignment="1">
      <alignment horizontal="center"/>
    </xf>
    <xf numFmtId="171" fontId="36" fillId="9" borderId="62" xfId="1" applyNumberFormat="1" applyFont="1" applyFill="1" applyBorder="1" applyAlignment="1">
      <alignment horizontal="center"/>
    </xf>
    <xf numFmtId="4" fontId="36" fillId="0" borderId="58" xfId="1" applyNumberFormat="1" applyFont="1" applyFill="1" applyBorder="1" applyAlignment="1" applyProtection="1">
      <alignment horizontal="center"/>
      <protection locked="0"/>
    </xf>
    <xf numFmtId="4" fontId="36" fillId="9" borderId="63" xfId="1" applyNumberFormat="1" applyFont="1" applyFill="1" applyBorder="1" applyAlignment="1">
      <alignment horizontal="center"/>
    </xf>
    <xf numFmtId="4" fontId="36" fillId="0" borderId="77" xfId="1" applyNumberFormat="1" applyFont="1" applyFill="1" applyBorder="1" applyAlignment="1" applyProtection="1">
      <alignment horizontal="center"/>
      <protection locked="0"/>
    </xf>
    <xf numFmtId="4" fontId="36" fillId="0" borderId="63" xfId="1" applyNumberFormat="1" applyFont="1" applyFill="1" applyBorder="1" applyAlignment="1" applyProtection="1">
      <alignment horizontal="center"/>
      <protection locked="0"/>
    </xf>
    <xf numFmtId="4" fontId="36" fillId="0" borderId="62" xfId="1" applyNumberFormat="1" applyFont="1" applyFill="1" applyBorder="1" applyAlignment="1" applyProtection="1">
      <alignment horizontal="center"/>
      <protection locked="0"/>
    </xf>
    <xf numFmtId="4" fontId="36" fillId="9" borderId="77" xfId="1" applyNumberFormat="1" applyFont="1" applyFill="1" applyBorder="1" applyAlignment="1">
      <alignment horizontal="center"/>
    </xf>
    <xf numFmtId="0" fontId="35" fillId="14" borderId="64" xfId="1" applyFont="1" applyFill="1" applyBorder="1" applyAlignment="1">
      <alignment horizontal="center"/>
    </xf>
    <xf numFmtId="165" fontId="35" fillId="14" borderId="65" xfId="1" applyNumberFormat="1" applyFont="1" applyFill="1" applyBorder="1" applyAlignment="1">
      <alignment horizontal="center"/>
    </xf>
    <xf numFmtId="1" fontId="35" fillId="14" borderId="65" xfId="1" applyNumberFormat="1" applyFont="1" applyFill="1" applyBorder="1" applyAlignment="1">
      <alignment horizontal="center"/>
    </xf>
    <xf numFmtId="0" fontId="35" fillId="14" borderId="65" xfId="1" applyFont="1" applyFill="1" applyBorder="1" applyAlignment="1">
      <alignment horizontal="center"/>
    </xf>
    <xf numFmtId="0" fontId="33" fillId="14" borderId="65" xfId="1" applyFont="1" applyFill="1" applyBorder="1" applyAlignment="1"/>
    <xf numFmtId="0" fontId="33" fillId="14" borderId="66" xfId="1" applyFont="1" applyFill="1" applyBorder="1" applyAlignment="1">
      <alignment horizontal="center"/>
    </xf>
    <xf numFmtId="166" fontId="33" fillId="14" borderId="64" xfId="3" applyNumberFormat="1" applyFont="1" applyFill="1" applyBorder="1" applyAlignment="1">
      <alignment horizontal="center"/>
    </xf>
    <xf numFmtId="3" fontId="33" fillId="14" borderId="66" xfId="1" applyNumberFormat="1" applyFont="1" applyFill="1" applyBorder="1" applyAlignment="1">
      <alignment horizontal="center"/>
    </xf>
    <xf numFmtId="171" fontId="33" fillId="14" borderId="64" xfId="1" applyNumberFormat="1" applyFont="1" applyFill="1" applyBorder="1" applyAlignment="1">
      <alignment horizontal="center"/>
    </xf>
    <xf numFmtId="4" fontId="33" fillId="14" borderId="65" xfId="1" applyNumberFormat="1" applyFont="1" applyFill="1" applyBorder="1" applyAlignment="1">
      <alignment horizontal="center"/>
    </xf>
    <xf numFmtId="4" fontId="33" fillId="14" borderId="66" xfId="1" applyNumberFormat="1" applyFont="1" applyFill="1" applyBorder="1" applyAlignment="1">
      <alignment horizontal="center"/>
    </xf>
    <xf numFmtId="4" fontId="33" fillId="14" borderId="78" xfId="1" applyNumberFormat="1" applyFont="1" applyFill="1" applyBorder="1" applyAlignment="1">
      <alignment horizontal="center"/>
    </xf>
    <xf numFmtId="3" fontId="33" fillId="14" borderId="64" xfId="1" applyNumberFormat="1" applyFont="1" applyFill="1" applyBorder="1" applyAlignment="1">
      <alignment horizontal="center"/>
    </xf>
    <xf numFmtId="164" fontId="33" fillId="14" borderId="66" xfId="3" applyNumberFormat="1" applyFont="1" applyFill="1" applyBorder="1" applyAlignment="1">
      <alignment horizontal="center"/>
    </xf>
    <xf numFmtId="164" fontId="33" fillId="14" borderId="64" xfId="3" applyNumberFormat="1" applyFont="1" applyFill="1" applyBorder="1" applyAlignment="1">
      <alignment horizontal="center"/>
    </xf>
    <xf numFmtId="0" fontId="33" fillId="14" borderId="85" xfId="1" applyFont="1" applyFill="1" applyBorder="1" applyAlignment="1">
      <alignment horizontal="center"/>
    </xf>
    <xf numFmtId="0" fontId="33" fillId="14" borderId="81" xfId="1" applyFont="1" applyFill="1" applyBorder="1" applyAlignment="1">
      <alignment horizontal="center"/>
    </xf>
    <xf numFmtId="0" fontId="34" fillId="14" borderId="68" xfId="1" applyFont="1" applyFill="1" applyBorder="1" applyAlignment="1">
      <alignment horizontal="center"/>
    </xf>
    <xf numFmtId="0" fontId="34" fillId="14" borderId="89" xfId="1" applyFont="1" applyFill="1" applyBorder="1" applyAlignment="1">
      <alignment horizontal="center"/>
    </xf>
    <xf numFmtId="0" fontId="34" fillId="14" borderId="90" xfId="1" applyFont="1" applyFill="1" applyBorder="1" applyAlignment="1">
      <alignment horizontal="center"/>
    </xf>
    <xf numFmtId="0" fontId="34" fillId="14" borderId="88" xfId="1" applyFont="1" applyFill="1" applyBorder="1" applyAlignment="1">
      <alignment horizontal="center"/>
    </xf>
    <xf numFmtId="0" fontId="33" fillId="14" borderId="69" xfId="1" applyFont="1" applyFill="1" applyBorder="1" applyAlignment="1">
      <alignment horizontal="center"/>
    </xf>
    <xf numFmtId="0" fontId="25" fillId="0" borderId="0" xfId="0" applyFont="1" applyBorder="1" applyAlignment="1" applyProtection="1">
      <alignment vertical="center"/>
    </xf>
    <xf numFmtId="0" fontId="0" fillId="0" borderId="60" xfId="0" applyBorder="1" applyProtection="1"/>
    <xf numFmtId="0" fontId="0" fillId="0" borderId="58" xfId="0" applyBorder="1" applyProtection="1"/>
    <xf numFmtId="4" fontId="37" fillId="9" borderId="58" xfId="0" applyNumberFormat="1" applyFont="1" applyFill="1" applyBorder="1" applyAlignment="1" applyProtection="1">
      <alignment horizontal="center"/>
    </xf>
    <xf numFmtId="4" fontId="37" fillId="9" borderId="63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65" xfId="0" applyBorder="1" applyProtection="1"/>
    <xf numFmtId="0" fontId="0" fillId="0" borderId="67" xfId="0" applyBorder="1" applyProtection="1"/>
    <xf numFmtId="0" fontId="3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justify" wrapText="1"/>
    </xf>
    <xf numFmtId="0" fontId="15" fillId="0" borderId="0" xfId="0" applyFont="1" applyBorder="1" applyAlignment="1" applyProtection="1">
      <alignment horizontal="center" vertical="justify" wrapText="1"/>
    </xf>
    <xf numFmtId="0" fontId="0" fillId="0" borderId="72" xfId="0" applyBorder="1" applyProtection="1"/>
    <xf numFmtId="0" fontId="0" fillId="0" borderId="6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165" fontId="18" fillId="0" borderId="59" xfId="1" applyNumberFormat="1" applyFill="1" applyBorder="1" applyAlignment="1" applyProtection="1">
      <alignment horizontal="center"/>
      <protection locked="0"/>
    </xf>
    <xf numFmtId="165" fontId="18" fillId="0" borderId="60" xfId="1" applyNumberFormat="1" applyFont="1" applyFill="1" applyBorder="1" applyAlignment="1" applyProtection="1">
      <alignment horizontal="center"/>
      <protection locked="0"/>
    </xf>
    <xf numFmtId="170" fontId="18" fillId="0" borderId="60" xfId="1" applyNumberFormat="1" applyFill="1" applyBorder="1" applyAlignment="1" applyProtection="1">
      <alignment horizontal="center"/>
      <protection locked="0"/>
    </xf>
    <xf numFmtId="0" fontId="18" fillId="0" borderId="60" xfId="1" applyNumberFormat="1" applyFont="1" applyFill="1" applyBorder="1" applyAlignment="1" applyProtection="1">
      <alignment horizontal="center"/>
      <protection locked="0"/>
    </xf>
    <xf numFmtId="0" fontId="18" fillId="0" borderId="61" xfId="1" applyNumberFormat="1" applyFont="1" applyFill="1" applyBorder="1" applyAlignment="1" applyProtection="1">
      <alignment horizontal="center"/>
      <protection locked="0"/>
    </xf>
    <xf numFmtId="165" fontId="18" fillId="0" borderId="62" xfId="1" applyNumberFormat="1" applyFill="1" applyBorder="1" applyAlignment="1" applyProtection="1">
      <alignment horizontal="center"/>
      <protection locked="0"/>
    </xf>
    <xf numFmtId="165" fontId="18" fillId="0" borderId="58" xfId="1" applyNumberFormat="1" applyFont="1" applyFill="1" applyBorder="1" applyAlignment="1" applyProtection="1">
      <alignment horizontal="center"/>
      <protection locked="0"/>
    </xf>
    <xf numFmtId="170" fontId="18" fillId="0" borderId="58" xfId="1" applyNumberFormat="1" applyFill="1" applyBorder="1" applyAlignment="1" applyProtection="1">
      <alignment horizontal="center"/>
      <protection locked="0"/>
    </xf>
    <xf numFmtId="0" fontId="18" fillId="0" borderId="58" xfId="1" applyNumberFormat="1" applyFont="1" applyFill="1" applyBorder="1" applyAlignment="1" applyProtection="1">
      <alignment horizontal="center"/>
      <protection locked="0"/>
    </xf>
    <xf numFmtId="0" fontId="18" fillId="0" borderId="63" xfId="1" applyNumberFormat="1" applyFont="1" applyFill="1" applyBorder="1" applyAlignment="1" applyProtection="1">
      <alignment horizontal="center"/>
      <protection locked="0"/>
    </xf>
    <xf numFmtId="165" fontId="18" fillId="0" borderId="58" xfId="1" applyNumberFormat="1" applyFill="1" applyBorder="1" applyAlignment="1" applyProtection="1">
      <alignment horizontal="center"/>
      <protection locked="0"/>
    </xf>
    <xf numFmtId="0" fontId="23" fillId="14" borderId="64" xfId="1" applyFont="1" applyFill="1" applyBorder="1" applyAlignment="1" applyProtection="1">
      <alignment horizontal="center"/>
    </xf>
    <xf numFmtId="0" fontId="23" fillId="14" borderId="65" xfId="1" applyFont="1" applyFill="1" applyBorder="1" applyAlignment="1" applyProtection="1">
      <alignment horizontal="center"/>
    </xf>
    <xf numFmtId="0" fontId="23" fillId="14" borderId="66" xfId="1" applyFont="1" applyFill="1" applyBorder="1" applyAlignment="1" applyProtection="1">
      <alignment horizontal="center"/>
    </xf>
    <xf numFmtId="4" fontId="18" fillId="0" borderId="60" xfId="1" applyNumberFormat="1" applyFont="1" applyFill="1" applyBorder="1" applyAlignment="1" applyProtection="1">
      <alignment horizontal="center"/>
      <protection locked="0"/>
    </xf>
    <xf numFmtId="4" fontId="18" fillId="0" borderId="58" xfId="1" applyNumberFormat="1" applyFont="1" applyFill="1" applyBorder="1" applyAlignment="1" applyProtection="1">
      <alignment horizontal="center"/>
      <protection locked="0"/>
    </xf>
    <xf numFmtId="165" fontId="19" fillId="14" borderId="64" xfId="1" applyNumberFormat="1" applyFont="1" applyFill="1" applyBorder="1" applyAlignment="1" applyProtection="1">
      <alignment horizontal="center"/>
      <protection locked="0"/>
    </xf>
    <xf numFmtId="165" fontId="19" fillId="14" borderId="65" xfId="1" applyNumberFormat="1" applyFont="1" applyFill="1" applyBorder="1" applyAlignment="1" applyProtection="1">
      <alignment horizontal="center"/>
      <protection locked="0"/>
    </xf>
    <xf numFmtId="170" fontId="19" fillId="14" borderId="65" xfId="1" applyNumberFormat="1" applyFont="1" applyFill="1" applyBorder="1" applyAlignment="1" applyProtection="1">
      <alignment horizontal="center"/>
      <protection locked="0"/>
    </xf>
    <xf numFmtId="0" fontId="19" fillId="14" borderId="65" xfId="1" applyNumberFormat="1" applyFont="1" applyFill="1" applyBorder="1" applyAlignment="1" applyProtection="1">
      <alignment horizontal="center"/>
      <protection locked="0"/>
    </xf>
    <xf numFmtId="0" fontId="19" fillId="14" borderId="66" xfId="1" applyNumberFormat="1" applyFont="1" applyFill="1" applyBorder="1" applyAlignment="1" applyProtection="1">
      <alignment horizontal="center"/>
      <protection locked="0"/>
    </xf>
    <xf numFmtId="4" fontId="20" fillId="14" borderId="65" xfId="1" applyNumberFormat="1" applyFont="1" applyFill="1" applyBorder="1" applyAlignment="1" applyProtection="1">
      <alignment horizontal="center"/>
      <protection locked="0"/>
    </xf>
    <xf numFmtId="0" fontId="34" fillId="14" borderId="91" xfId="1" applyFont="1" applyFill="1" applyBorder="1" applyAlignment="1">
      <alignment horizontal="center"/>
    </xf>
    <xf numFmtId="4" fontId="36" fillId="0" borderId="91" xfId="1" applyNumberFormat="1" applyFont="1" applyFill="1" applyBorder="1" applyAlignment="1" applyProtection="1">
      <alignment horizontal="center"/>
      <protection locked="0"/>
    </xf>
    <xf numFmtId="0" fontId="39" fillId="0" borderId="0" xfId="0" applyFont="1" applyBorder="1" applyAlignment="1" applyProtection="1">
      <alignment vertical="justify" wrapText="1"/>
    </xf>
    <xf numFmtId="0" fontId="0" fillId="0" borderId="58" xfId="0" applyFont="1" applyFill="1" applyBorder="1" applyAlignment="1" applyProtection="1">
      <alignment horizontal="center"/>
      <protection locked="0"/>
    </xf>
    <xf numFmtId="0" fontId="0" fillId="0" borderId="63" xfId="0" applyFont="1" applyFill="1" applyBorder="1" applyAlignment="1" applyProtection="1">
      <alignment horizontal="center"/>
      <protection locked="0"/>
    </xf>
    <xf numFmtId="0" fontId="22" fillId="9" borderId="64" xfId="0" applyNumberFormat="1" applyFont="1" applyFill="1" applyBorder="1" applyAlignment="1" applyProtection="1">
      <alignment horizontal="center"/>
    </xf>
    <xf numFmtId="0" fontId="22" fillId="9" borderId="65" xfId="0" applyNumberFormat="1" applyFont="1" applyFill="1" applyBorder="1" applyAlignment="1" applyProtection="1">
      <alignment horizontal="center"/>
    </xf>
    <xf numFmtId="3" fontId="36" fillId="0" borderId="58" xfId="1" applyNumberFormat="1" applyFont="1" applyFill="1" applyBorder="1" applyAlignment="1" applyProtection="1">
      <alignment horizontal="center"/>
      <protection locked="0"/>
    </xf>
    <xf numFmtId="14" fontId="36" fillId="9" borderId="58" xfId="1" applyNumberFormat="1" applyFont="1" applyFill="1" applyBorder="1" applyAlignment="1" applyProtection="1">
      <alignment horizontal="center"/>
    </xf>
    <xf numFmtId="0" fontId="36" fillId="0" borderId="68" xfId="1" applyFont="1" applyFill="1" applyBorder="1" applyAlignment="1" applyProtection="1">
      <alignment horizontal="center"/>
      <protection locked="0"/>
    </xf>
    <xf numFmtId="0" fontId="36" fillId="0" borderId="92" xfId="1" applyFont="1" applyFill="1" applyBorder="1" applyAlignment="1" applyProtection="1">
      <alignment horizontal="center"/>
      <protection locked="0"/>
    </xf>
    <xf numFmtId="0" fontId="36" fillId="0" borderId="58" xfId="1" applyFont="1" applyFill="1" applyBorder="1" applyAlignment="1" applyProtection="1">
      <alignment horizontal="center"/>
      <protection locked="0"/>
    </xf>
    <xf numFmtId="0" fontId="34" fillId="14" borderId="58" xfId="1" applyFont="1" applyFill="1" applyBorder="1" applyAlignment="1">
      <alignment horizontal="center"/>
    </xf>
    <xf numFmtId="0" fontId="33" fillId="14" borderId="59" xfId="1" applyFont="1" applyFill="1" applyBorder="1" applyAlignment="1">
      <alignment horizontal="center"/>
    </xf>
    <xf numFmtId="0" fontId="33" fillId="14" borderId="60" xfId="1" applyFont="1" applyFill="1" applyBorder="1" applyAlignment="1">
      <alignment horizontal="center"/>
    </xf>
    <xf numFmtId="0" fontId="33" fillId="14" borderId="82" xfId="1" applyFont="1" applyFill="1" applyBorder="1" applyAlignment="1">
      <alignment horizontal="center"/>
    </xf>
    <xf numFmtId="0" fontId="33" fillId="14" borderId="83" xfId="1" applyFont="1" applyFill="1" applyBorder="1" applyAlignment="1">
      <alignment horizontal="center"/>
    </xf>
    <xf numFmtId="0" fontId="33" fillId="14" borderId="84" xfId="1" applyFont="1" applyFill="1" applyBorder="1" applyAlignment="1">
      <alignment horizontal="center"/>
    </xf>
    <xf numFmtId="0" fontId="33" fillId="14" borderId="60" xfId="0" applyFont="1" applyFill="1" applyBorder="1" applyAlignment="1" applyProtection="1">
      <alignment horizontal="center"/>
    </xf>
    <xf numFmtId="0" fontId="20" fillId="14" borderId="71" xfId="0" applyFont="1" applyFill="1" applyBorder="1" applyAlignment="1" applyProtection="1">
      <alignment horizontal="center"/>
    </xf>
    <xf numFmtId="0" fontId="20" fillId="14" borderId="73" xfId="0" applyFont="1" applyFill="1" applyBorder="1" applyAlignment="1" applyProtection="1">
      <alignment horizontal="center"/>
    </xf>
    <xf numFmtId="0" fontId="22" fillId="0" borderId="62" xfId="0" applyFont="1" applyBorder="1" applyAlignment="1" applyProtection="1">
      <alignment horizontal="center"/>
      <protection locked="0"/>
    </xf>
    <xf numFmtId="0" fontId="22" fillId="0" borderId="58" xfId="0" applyFont="1" applyBorder="1" applyAlignment="1" applyProtection="1">
      <alignment horizontal="center"/>
      <protection locked="0"/>
    </xf>
    <xf numFmtId="0" fontId="33" fillId="14" borderId="58" xfId="0" applyFont="1" applyFill="1" applyBorder="1" applyAlignment="1" applyProtection="1">
      <alignment horizontal="center"/>
    </xf>
    <xf numFmtId="3" fontId="22" fillId="9" borderId="64" xfId="0" applyNumberFormat="1" applyFont="1" applyFill="1" applyBorder="1" applyAlignment="1" applyProtection="1">
      <alignment horizontal="center"/>
    </xf>
    <xf numFmtId="3" fontId="22" fillId="9" borderId="65" xfId="0" applyNumberFormat="1" applyFont="1" applyFill="1" applyBorder="1" applyAlignment="1" applyProtection="1">
      <alignment horizontal="center"/>
    </xf>
    <xf numFmtId="3" fontId="22" fillId="0" borderId="62" xfId="0" applyNumberFormat="1" applyFont="1" applyFill="1" applyBorder="1" applyAlignment="1" applyProtection="1">
      <alignment horizontal="center"/>
    </xf>
    <xf numFmtId="3" fontId="22" fillId="0" borderId="58" xfId="0" applyNumberFormat="1" applyFont="1" applyFill="1" applyBorder="1" applyAlignment="1" applyProtection="1">
      <alignment horizontal="center"/>
    </xf>
    <xf numFmtId="3" fontId="24" fillId="0" borderId="58" xfId="0" applyNumberFormat="1" applyFont="1" applyFill="1" applyBorder="1" applyAlignment="1" applyProtection="1">
      <alignment horizontal="center"/>
    </xf>
    <xf numFmtId="3" fontId="24" fillId="0" borderId="63" xfId="0" applyNumberFormat="1" applyFont="1" applyFill="1" applyBorder="1" applyAlignment="1" applyProtection="1">
      <alignment horizontal="center"/>
    </xf>
    <xf numFmtId="0" fontId="33" fillId="14" borderId="62" xfId="0" applyFont="1" applyFill="1" applyBorder="1" applyAlignment="1" applyProtection="1">
      <alignment horizontal="center"/>
    </xf>
    <xf numFmtId="0" fontId="33" fillId="14" borderId="63" xfId="0" applyFont="1" applyFill="1" applyBorder="1" applyAlignment="1" applyProtection="1">
      <alignment horizontal="center"/>
    </xf>
    <xf numFmtId="4" fontId="36" fillId="10" borderId="62" xfId="0" applyNumberFormat="1" applyFont="1" applyFill="1" applyBorder="1" applyAlignment="1" applyProtection="1">
      <alignment horizontal="center"/>
      <protection locked="0"/>
    </xf>
    <xf numFmtId="4" fontId="36" fillId="10" borderId="58" xfId="0" applyNumberFormat="1" applyFont="1" applyFill="1" applyBorder="1" applyAlignment="1" applyProtection="1">
      <alignment horizontal="center"/>
      <protection locked="0"/>
    </xf>
    <xf numFmtId="0" fontId="46" fillId="15" borderId="44" xfId="0" applyFont="1" applyFill="1" applyBorder="1" applyAlignment="1">
      <alignment horizontal="center" vertical="center"/>
    </xf>
    <xf numFmtId="0" fontId="46" fillId="15" borderId="46" xfId="0" applyFont="1" applyFill="1" applyBorder="1" applyAlignment="1">
      <alignment horizontal="center" vertical="center"/>
    </xf>
    <xf numFmtId="0" fontId="46" fillId="15" borderId="43" xfId="0" applyFont="1" applyFill="1" applyBorder="1" applyAlignment="1">
      <alignment horizontal="center" vertical="center"/>
    </xf>
    <xf numFmtId="3" fontId="33" fillId="14" borderId="65" xfId="1" applyNumberFormat="1" applyFont="1" applyFill="1" applyBorder="1" applyAlignment="1">
      <alignment horizontal="center"/>
    </xf>
    <xf numFmtId="0" fontId="38" fillId="14" borderId="57" xfId="0" applyFont="1" applyFill="1" applyBorder="1" applyAlignment="1" applyProtection="1">
      <alignment horizontal="center"/>
    </xf>
    <xf numFmtId="0" fontId="38" fillId="14" borderId="45" xfId="0" applyFont="1" applyFill="1" applyBorder="1" applyAlignment="1" applyProtection="1">
      <alignment horizontal="center"/>
    </xf>
    <xf numFmtId="0" fontId="38" fillId="14" borderId="76" xfId="0" applyFont="1" applyFill="1" applyBorder="1" applyAlignment="1" applyProtection="1">
      <alignment horizontal="center"/>
    </xf>
    <xf numFmtId="14" fontId="0" fillId="9" borderId="62" xfId="0" applyNumberFormat="1" applyFill="1" applyBorder="1" applyAlignment="1" applyProtection="1">
      <alignment horizontal="center"/>
    </xf>
    <xf numFmtId="14" fontId="0" fillId="9" borderId="58" xfId="0" applyNumberFormat="1" applyFill="1" applyBorder="1" applyAlignment="1" applyProtection="1">
      <alignment horizontal="center"/>
    </xf>
    <xf numFmtId="14" fontId="0" fillId="0" borderId="62" xfId="0" applyNumberFormat="1" applyBorder="1" applyAlignment="1" applyProtection="1">
      <alignment horizontal="center"/>
      <protection locked="0"/>
    </xf>
    <xf numFmtId="14" fontId="0" fillId="0" borderId="58" xfId="0" applyNumberFormat="1" applyBorder="1" applyAlignment="1" applyProtection="1">
      <alignment horizontal="center"/>
      <protection locked="0"/>
    </xf>
    <xf numFmtId="3" fontId="0" fillId="0" borderId="58" xfId="0" applyNumberFormat="1" applyBorder="1" applyAlignment="1" applyProtection="1">
      <alignment horizontal="center"/>
      <protection locked="0"/>
    </xf>
    <xf numFmtId="0" fontId="33" fillId="14" borderId="60" xfId="0" applyFont="1" applyFill="1" applyBorder="1" applyAlignment="1" applyProtection="1">
      <alignment horizontal="left"/>
    </xf>
    <xf numFmtId="0" fontId="33" fillId="14" borderId="61" xfId="0" applyFont="1" applyFill="1" applyBorder="1" applyAlignment="1" applyProtection="1">
      <alignment horizontal="left"/>
    </xf>
    <xf numFmtId="4" fontId="36" fillId="0" borderId="62" xfId="0" applyNumberFormat="1" applyFont="1" applyBorder="1" applyAlignment="1" applyProtection="1">
      <alignment horizontal="center"/>
      <protection locked="0"/>
    </xf>
    <xf numFmtId="4" fontId="36" fillId="0" borderId="58" xfId="0" applyNumberFormat="1" applyFont="1" applyBorder="1" applyAlignment="1" applyProtection="1">
      <alignment horizontal="center"/>
      <protection locked="0"/>
    </xf>
    <xf numFmtId="4" fontId="36" fillId="10" borderId="64" xfId="0" applyNumberFormat="1" applyFont="1" applyFill="1" applyBorder="1" applyAlignment="1" applyProtection="1">
      <alignment horizontal="center"/>
      <protection locked="0"/>
    </xf>
    <xf numFmtId="4" fontId="36" fillId="10" borderId="65" xfId="0" applyNumberFormat="1" applyFont="1" applyFill="1" applyBorder="1" applyAlignment="1" applyProtection="1">
      <alignment horizontal="center"/>
      <protection locked="0"/>
    </xf>
    <xf numFmtId="0" fontId="22" fillId="9" borderId="65" xfId="0" applyFont="1" applyFill="1" applyBorder="1" applyAlignment="1" applyProtection="1">
      <alignment horizontal="center"/>
    </xf>
    <xf numFmtId="0" fontId="22" fillId="9" borderId="66" xfId="0" applyFont="1" applyFill="1" applyBorder="1" applyAlignment="1" applyProtection="1">
      <alignment horizontal="center"/>
    </xf>
    <xf numFmtId="3" fontId="0" fillId="0" borderId="58" xfId="0" applyNumberFormat="1" applyFont="1" applyFill="1" applyBorder="1" applyAlignment="1" applyProtection="1">
      <alignment horizontal="center"/>
      <protection locked="0"/>
    </xf>
    <xf numFmtId="3" fontId="0" fillId="0" borderId="63" xfId="0" applyNumberFormat="1" applyFont="1" applyFill="1" applyBorder="1" applyAlignment="1" applyProtection="1">
      <alignment horizontal="center"/>
      <protection locked="0"/>
    </xf>
    <xf numFmtId="0" fontId="33" fillId="14" borderId="59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  <protection locked="0"/>
    </xf>
    <xf numFmtId="0" fontId="33" fillId="14" borderId="80" xfId="1" applyFont="1" applyFill="1" applyBorder="1" applyAlignment="1">
      <alignment horizontal="center"/>
    </xf>
    <xf numFmtId="0" fontId="33" fillId="14" borderId="61" xfId="0" applyFont="1" applyFill="1" applyBorder="1" applyAlignment="1" applyProtection="1">
      <alignment horizontal="center"/>
    </xf>
    <xf numFmtId="4" fontId="36" fillId="0" borderId="62" xfId="3" applyNumberFormat="1" applyFont="1" applyFill="1" applyBorder="1" applyAlignment="1" applyProtection="1">
      <alignment horizontal="center"/>
      <protection locked="0"/>
    </xf>
    <xf numFmtId="4" fontId="36" fillId="0" borderId="58" xfId="3" applyNumberFormat="1" applyFont="1" applyFill="1" applyBorder="1" applyAlignment="1" applyProtection="1">
      <alignment horizontal="center"/>
      <protection locked="0"/>
    </xf>
    <xf numFmtId="3" fontId="0" fillId="0" borderId="62" xfId="0" applyNumberFormat="1" applyFont="1" applyFill="1" applyBorder="1" applyAlignment="1" applyProtection="1">
      <alignment horizontal="center"/>
      <protection locked="0"/>
    </xf>
    <xf numFmtId="0" fontId="33" fillId="14" borderId="68" xfId="0" applyFont="1" applyFill="1" applyBorder="1" applyAlignment="1" applyProtection="1">
      <alignment horizontal="center"/>
    </xf>
    <xf numFmtId="4" fontId="37" fillId="9" borderId="65" xfId="0" applyNumberFormat="1" applyFont="1" applyFill="1" applyBorder="1" applyAlignment="1" applyProtection="1">
      <alignment horizontal="center"/>
    </xf>
    <xf numFmtId="4" fontId="37" fillId="9" borderId="70" xfId="0" applyNumberFormat="1" applyFont="1" applyFill="1" applyBorder="1" applyAlignment="1" applyProtection="1">
      <alignment horizontal="center"/>
    </xf>
    <xf numFmtId="0" fontId="42" fillId="0" borderId="71" xfId="2" applyFont="1" applyBorder="1" applyAlignment="1" applyProtection="1">
      <alignment horizontal="center"/>
      <protection locked="0"/>
    </xf>
    <xf numFmtId="0" fontId="42" fillId="0" borderId="72" xfId="2" applyFont="1" applyBorder="1" applyAlignment="1" applyProtection="1">
      <alignment horizontal="center"/>
      <protection locked="0"/>
    </xf>
    <xf numFmtId="0" fontId="42" fillId="0" borderId="73" xfId="2" applyFont="1" applyBorder="1" applyAlignment="1" applyProtection="1">
      <alignment horizontal="center"/>
      <protection locked="0"/>
    </xf>
    <xf numFmtId="4" fontId="37" fillId="9" borderId="58" xfId="0" applyNumberFormat="1" applyFont="1" applyFill="1" applyBorder="1" applyAlignment="1" applyProtection="1">
      <alignment horizontal="center"/>
    </xf>
    <xf numFmtId="0" fontId="26" fillId="0" borderId="71" xfId="0" applyFont="1" applyBorder="1" applyAlignment="1" applyProtection="1">
      <alignment horizontal="center" vertical="center" wrapText="1"/>
      <protection locked="0"/>
    </xf>
    <xf numFmtId="0" fontId="26" fillId="0" borderId="72" xfId="0" applyFont="1" applyBorder="1" applyAlignment="1" applyProtection="1">
      <alignment horizontal="center" vertical="center" wrapText="1"/>
      <protection locked="0"/>
    </xf>
    <xf numFmtId="0" fontId="26" fillId="0" borderId="73" xfId="0" applyFont="1" applyBorder="1" applyAlignment="1" applyProtection="1">
      <alignment horizontal="center" vertical="center" wrapText="1"/>
      <protection locked="0"/>
    </xf>
    <xf numFmtId="0" fontId="33" fillId="14" borderId="86" xfId="1" applyFont="1" applyFill="1" applyBorder="1" applyAlignment="1">
      <alignment horizontal="center"/>
    </xf>
    <xf numFmtId="0" fontId="33" fillId="14" borderId="87" xfId="1" applyFont="1" applyFill="1" applyBorder="1" applyAlignment="1">
      <alignment horizontal="center"/>
    </xf>
    <xf numFmtId="4" fontId="37" fillId="9" borderId="68" xfId="0" applyNumberFormat="1" applyFont="1" applyFill="1" applyBorder="1" applyAlignment="1" applyProtection="1">
      <alignment horizontal="center"/>
    </xf>
    <xf numFmtId="0" fontId="39" fillId="0" borderId="47" xfId="0" applyFont="1" applyBorder="1" applyAlignment="1" applyProtection="1">
      <alignment horizontal="left" vertical="justify" wrapText="1"/>
    </xf>
    <xf numFmtId="0" fontId="39" fillId="0" borderId="48" xfId="0" applyFont="1" applyBorder="1" applyAlignment="1" applyProtection="1">
      <alignment horizontal="left" vertical="justify" wrapText="1"/>
    </xf>
    <xf numFmtId="0" fontId="39" fillId="0" borderId="49" xfId="0" applyFont="1" applyBorder="1" applyAlignment="1" applyProtection="1">
      <alignment horizontal="left" vertical="justify" wrapText="1"/>
    </xf>
    <xf numFmtId="0" fontId="39" fillId="0" borderId="50" xfId="0" applyFont="1" applyBorder="1" applyAlignment="1" applyProtection="1">
      <alignment horizontal="left" vertical="justify" wrapText="1"/>
    </xf>
    <xf numFmtId="0" fontId="39" fillId="0" borderId="0" xfId="0" applyFont="1" applyBorder="1" applyAlignment="1" applyProtection="1">
      <alignment horizontal="left" vertical="justify" wrapText="1"/>
    </xf>
    <xf numFmtId="0" fontId="39" fillId="0" borderId="51" xfId="0" applyFont="1" applyBorder="1" applyAlignment="1" applyProtection="1">
      <alignment horizontal="left" vertical="justify" wrapText="1"/>
    </xf>
    <xf numFmtId="0" fontId="39" fillId="0" borderId="52" xfId="0" applyFont="1" applyBorder="1" applyAlignment="1" applyProtection="1">
      <alignment horizontal="left" vertical="justify" wrapText="1"/>
    </xf>
    <xf numFmtId="0" fontId="39" fillId="0" borderId="53" xfId="0" applyFont="1" applyBorder="1" applyAlignment="1" applyProtection="1">
      <alignment horizontal="left" vertical="justify" wrapText="1"/>
    </xf>
    <xf numFmtId="0" fontId="39" fillId="0" borderId="54" xfId="0" applyFont="1" applyBorder="1" applyAlignment="1" applyProtection="1">
      <alignment horizontal="left" vertical="justify" wrapText="1"/>
    </xf>
    <xf numFmtId="0" fontId="32" fillId="0" borderId="55" xfId="0" applyFont="1" applyBorder="1" applyAlignment="1" applyProtection="1">
      <alignment horizontal="center" vertical="center"/>
    </xf>
    <xf numFmtId="0" fontId="32" fillId="0" borderId="79" xfId="0" applyFont="1" applyBorder="1" applyAlignment="1" applyProtection="1">
      <alignment horizontal="center" vertical="center"/>
    </xf>
    <xf numFmtId="0" fontId="32" fillId="0" borderId="56" xfId="0" applyFont="1" applyBorder="1" applyAlignment="1" applyProtection="1">
      <alignment horizontal="center" vertical="center"/>
    </xf>
    <xf numFmtId="172" fontId="37" fillId="9" borderId="74" xfId="0" applyNumberFormat="1" applyFont="1" applyFill="1" applyBorder="1" applyAlignment="1" applyProtection="1">
      <alignment horizontal="center"/>
    </xf>
    <xf numFmtId="172" fontId="37" fillId="9" borderId="75" xfId="0" applyNumberFormat="1" applyFont="1" applyFill="1" applyBorder="1" applyAlignment="1" applyProtection="1">
      <alignment horizontal="center"/>
    </xf>
    <xf numFmtId="4" fontId="37" fillId="9" borderId="63" xfId="0" applyNumberFormat="1" applyFont="1" applyFill="1" applyBorder="1" applyAlignment="1" applyProtection="1">
      <alignment horizontal="center"/>
    </xf>
    <xf numFmtId="0" fontId="30" fillId="14" borderId="59" xfId="1" applyFont="1" applyFill="1" applyBorder="1" applyAlignment="1" applyProtection="1">
      <alignment horizontal="center" vertical="center"/>
    </xf>
    <xf numFmtId="0" fontId="30" fillId="14" borderId="60" xfId="1" applyFont="1" applyFill="1" applyBorder="1" applyAlignment="1" applyProtection="1">
      <alignment horizontal="center" vertical="center"/>
    </xf>
    <xf numFmtId="0" fontId="30" fillId="14" borderId="61" xfId="1" applyFont="1" applyFill="1" applyBorder="1" applyAlignment="1" applyProtection="1">
      <alignment horizontal="center" vertical="center"/>
    </xf>
    <xf numFmtId="0" fontId="28" fillId="13" borderId="40" xfId="0" applyFont="1" applyFill="1" applyBorder="1" applyAlignment="1" applyProtection="1">
      <alignment horizontal="center" vertical="center"/>
      <protection locked="0"/>
    </xf>
    <xf numFmtId="0" fontId="28" fillId="13" borderId="41" xfId="0" applyFont="1" applyFill="1" applyBorder="1" applyAlignment="1" applyProtection="1">
      <alignment horizontal="center" vertical="center"/>
      <protection locked="0"/>
    </xf>
    <xf numFmtId="0" fontId="28" fillId="13" borderId="42" xfId="0" applyFont="1" applyFill="1" applyBorder="1" applyAlignment="1" applyProtection="1">
      <alignment horizontal="center" vertical="center"/>
      <protection locked="0"/>
    </xf>
  </cellXfs>
  <cellStyles count="4">
    <cellStyle name="40% - Ênfase1" xfId="1" builtinId="31"/>
    <cellStyle name="Hiperlink" xfId="2" builtinId="8"/>
    <cellStyle name="Normal" xfId="0" builtinId="0"/>
    <cellStyle name="Vírgula" xfId="3" builtinId="3"/>
  </cellStyles>
  <dxfs count="18"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lor theme="0"/>
      </font>
      <numFmt numFmtId="1" formatCode="0"/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FF0000"/>
      </font>
    </dxf>
    <dxf>
      <font>
        <color rgb="FFFF0000"/>
      </font>
    </dxf>
    <dxf>
      <font>
        <color theme="3" tint="0.79998168889431442"/>
      </font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0B7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$AA$2" max="2050" min="1900" page="10" val="2023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CheckBox" fmlaLink="$AG$2" lockText="1"/>
</file>

<file path=xl/ctrlProps/ctrlProp4.xml><?xml version="1.0" encoding="utf-8"?>
<formControlPr xmlns="http://schemas.microsoft.com/office/spreadsheetml/2009/9/main" objectType="CheckBox" fmlaLink="$AE$2" lockText="1"/>
</file>

<file path=xl/ctrlProps/ctrlProp5.xml><?xml version="1.0" encoding="utf-8"?>
<formControlPr xmlns="http://schemas.microsoft.com/office/spreadsheetml/2009/9/main" objectType="CheckBox" checked="Checked" fmlaLink="$AC$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425451</xdr:colOff>
      <xdr:row>10</xdr:row>
      <xdr:rowOff>200024</xdr:rowOff>
    </xdr:from>
    <xdr:to>
      <xdr:col>20</xdr:col>
      <xdr:colOff>9526</xdr:colOff>
      <xdr:row>12</xdr:row>
      <xdr:rowOff>82548</xdr:rowOff>
    </xdr:to>
    <xdr:cxnSp macro="">
      <xdr:nvCxnSpPr>
        <xdr:cNvPr id="24" name="Conector Angulado 23"/>
        <xdr:cNvCxnSpPr/>
      </xdr:nvCxnSpPr>
      <xdr:spPr>
        <a:xfrm rot="10800000" flipV="1">
          <a:off x="10626726" y="2143124"/>
          <a:ext cx="2441575" cy="273049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PrintsWithSheet="0"/>
  </xdr:twoCellAnchor>
  <xdr:twoCellAnchor>
    <xdr:from>
      <xdr:col>16</xdr:col>
      <xdr:colOff>431463</xdr:colOff>
      <xdr:row>12</xdr:row>
      <xdr:rowOff>77202</xdr:rowOff>
    </xdr:from>
    <xdr:to>
      <xdr:col>16</xdr:col>
      <xdr:colOff>431463</xdr:colOff>
      <xdr:row>13</xdr:row>
      <xdr:rowOff>143877</xdr:rowOff>
    </xdr:to>
    <xdr:cxnSp macro="">
      <xdr:nvCxnSpPr>
        <xdr:cNvPr id="27" name="Conector de Seta Reta 26"/>
        <xdr:cNvCxnSpPr/>
      </xdr:nvCxnSpPr>
      <xdr:spPr>
        <a:xfrm>
          <a:off x="10680363" y="2433052"/>
          <a:ext cx="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18</xdr:col>
      <xdr:colOff>76201</xdr:colOff>
      <xdr:row>3</xdr:row>
      <xdr:rowOff>38101</xdr:rowOff>
    </xdr:from>
    <xdr:to>
      <xdr:col>19</xdr:col>
      <xdr:colOff>657226</xdr:colOff>
      <xdr:row>9</xdr:row>
      <xdr:rowOff>151231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6" y="600076"/>
          <a:ext cx="1295400" cy="1294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161925</xdr:rowOff>
        </xdr:from>
        <xdr:to>
          <xdr:col>6</xdr:col>
          <xdr:colOff>9525</xdr:colOff>
          <xdr:row>2</xdr:row>
          <xdr:rowOff>0</xdr:rowOff>
        </xdr:to>
        <xdr:sp macro="" textlink="">
          <xdr:nvSpPr>
            <xdr:cNvPr id="22529" name="Spinner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0</xdr:row>
          <xdr:rowOff>95250</xdr:rowOff>
        </xdr:from>
        <xdr:to>
          <xdr:col>22</xdr:col>
          <xdr:colOff>152400</xdr:colOff>
          <xdr:row>2</xdr:row>
          <xdr:rowOff>47625</xdr:rowOff>
        </xdr:to>
        <xdr:sp macro="" textlink="">
          <xdr:nvSpPr>
            <xdr:cNvPr id="22530" name="Group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Mostrar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0</xdr:row>
          <xdr:rowOff>161925</xdr:rowOff>
        </xdr:from>
        <xdr:to>
          <xdr:col>22</xdr:col>
          <xdr:colOff>47625</xdr:colOff>
          <xdr:row>2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Feriados nos EUA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0</xdr:row>
          <xdr:rowOff>161925</xdr:rowOff>
        </xdr:from>
        <xdr:to>
          <xdr:col>16</xdr:col>
          <xdr:colOff>238125</xdr:colOff>
          <xdr:row>2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Datas Comemorativas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0</xdr:row>
          <xdr:rowOff>161925</xdr:rowOff>
        </xdr:from>
        <xdr:to>
          <xdr:col>11</xdr:col>
          <xdr:colOff>95250</xdr:colOff>
          <xdr:row>2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Feriados Nacionais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tabColor rgb="FF0070C0"/>
    <pageSetUpPr fitToPage="1"/>
  </sheetPr>
  <dimension ref="A1:AP86"/>
  <sheetViews>
    <sheetView showGridLines="0" tabSelected="1" zoomScaleNormal="100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B5" sqref="B5:C5"/>
    </sheetView>
  </sheetViews>
  <sheetFormatPr defaultColWidth="0" defaultRowHeight="0" customHeight="1" zeroHeight="1" x14ac:dyDescent="0.25"/>
  <cols>
    <col min="1" max="1" width="3" customWidth="1"/>
    <col min="2" max="3" width="10.7109375" customWidth="1"/>
    <col min="4" max="4" width="10.7109375" hidden="1" customWidth="1"/>
    <col min="5" max="20" width="10.7109375" customWidth="1"/>
    <col min="21" max="21" width="11.140625" bestFit="1" customWidth="1"/>
    <col min="22" max="22" width="11.140625" customWidth="1"/>
    <col min="23" max="23" width="10.7109375" customWidth="1"/>
    <col min="24" max="24" width="14.140625" bestFit="1" customWidth="1"/>
    <col min="25" max="25" width="11.85546875" customWidth="1"/>
    <col min="26" max="26" width="14.7109375" hidden="1" customWidth="1"/>
    <col min="27" max="16384" width="14.7109375" hidden="1"/>
  </cols>
  <sheetData>
    <row r="1" spans="1:24" s="65" customFormat="1" ht="18.75" thickBot="1" x14ac:dyDescent="0.3">
      <c r="A1"/>
      <c r="B1" s="179" t="s">
        <v>105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1"/>
    </row>
    <row r="2" spans="1:24" s="65" customFormat="1" ht="19.5" customHeight="1" thickBot="1" x14ac:dyDescent="0.3">
      <c r="A2"/>
      <c r="B2" s="211" t="s">
        <v>159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3"/>
    </row>
    <row r="3" spans="1:24" s="65" customFormat="1" ht="6" customHeight="1" thickBot="1" x14ac:dyDescent="0.3">
      <c r="A3"/>
      <c r="W3" s="103"/>
      <c r="X3" s="103"/>
    </row>
    <row r="4" spans="1:24" s="65" customFormat="1" ht="15.75" customHeight="1" x14ac:dyDescent="0.25">
      <c r="A4"/>
      <c r="B4" s="197" t="s">
        <v>15</v>
      </c>
      <c r="C4" s="159"/>
      <c r="D4" s="104"/>
      <c r="E4" s="159" t="s">
        <v>20</v>
      </c>
      <c r="F4" s="159"/>
      <c r="H4" s="197" t="s">
        <v>118</v>
      </c>
      <c r="I4" s="159"/>
      <c r="J4" s="187" t="s">
        <v>116</v>
      </c>
      <c r="K4" s="188"/>
      <c r="M4" s="197" t="s">
        <v>104</v>
      </c>
      <c r="N4" s="159"/>
      <c r="O4" s="159" t="s">
        <v>108</v>
      </c>
      <c r="P4" s="159"/>
      <c r="Q4" s="159" t="s">
        <v>93</v>
      </c>
      <c r="R4" s="200"/>
      <c r="U4" s="217" t="s">
        <v>131</v>
      </c>
      <c r="V4" s="218"/>
      <c r="W4" s="218"/>
      <c r="X4" s="219"/>
    </row>
    <row r="5" spans="1:24" s="65" customFormat="1" ht="15" x14ac:dyDescent="0.25">
      <c r="A5"/>
      <c r="B5" s="162" t="s">
        <v>15</v>
      </c>
      <c r="C5" s="163"/>
      <c r="D5" s="105"/>
      <c r="E5" s="185" t="s">
        <v>144</v>
      </c>
      <c r="F5" s="185"/>
      <c r="H5" s="198" t="s">
        <v>158</v>
      </c>
      <c r="I5" s="144"/>
      <c r="J5" s="144">
        <v>28</v>
      </c>
      <c r="K5" s="145"/>
      <c r="M5" s="201">
        <v>15000</v>
      </c>
      <c r="N5" s="202"/>
      <c r="O5" s="210">
        <f>IFERROR(SUM(M7+M11+M9+M13+O7+O9+Q7+O13+O11+Q11),0)</f>
        <v>14875.285714285714</v>
      </c>
      <c r="P5" s="210"/>
      <c r="Q5" s="106">
        <f>M5-O5</f>
        <v>124.71428571428623</v>
      </c>
      <c r="R5" s="107" t="str">
        <f>IF(O5&gt;M5,"Rever","Com sobra")</f>
        <v>Com sobra</v>
      </c>
      <c r="T5" s="143"/>
      <c r="U5" s="220"/>
      <c r="V5" s="221"/>
      <c r="W5" s="221"/>
      <c r="X5" s="222"/>
    </row>
    <row r="6" spans="1:24" s="65" customFormat="1" ht="15.75" customHeight="1" x14ac:dyDescent="0.25">
      <c r="A6"/>
      <c r="B6" s="171" t="s">
        <v>91</v>
      </c>
      <c r="C6" s="164"/>
      <c r="D6" s="105"/>
      <c r="E6" s="164" t="s">
        <v>112</v>
      </c>
      <c r="F6" s="164"/>
      <c r="H6" s="171" t="s">
        <v>126</v>
      </c>
      <c r="I6" s="164"/>
      <c r="J6" s="164" t="s">
        <v>127</v>
      </c>
      <c r="K6" s="172"/>
      <c r="M6" s="171" t="s">
        <v>119</v>
      </c>
      <c r="N6" s="164"/>
      <c r="O6" s="164" t="s">
        <v>123</v>
      </c>
      <c r="P6" s="164"/>
      <c r="Q6" s="164" t="s">
        <v>89</v>
      </c>
      <c r="R6" s="172"/>
      <c r="T6" s="143"/>
      <c r="U6" s="220"/>
      <c r="V6" s="221"/>
      <c r="W6" s="221"/>
      <c r="X6" s="222"/>
    </row>
    <row r="7" spans="1:24" s="65" customFormat="1" ht="15.75" customHeight="1" x14ac:dyDescent="0.25">
      <c r="A7"/>
      <c r="B7" s="184">
        <v>45292</v>
      </c>
      <c r="C7" s="185"/>
      <c r="D7" s="105"/>
      <c r="E7" s="186">
        <v>23</v>
      </c>
      <c r="F7" s="186"/>
      <c r="H7" s="203">
        <v>16000</v>
      </c>
      <c r="I7" s="195"/>
      <c r="J7" s="195">
        <v>16000</v>
      </c>
      <c r="K7" s="196"/>
      <c r="M7" s="173">
        <v>0</v>
      </c>
      <c r="N7" s="174"/>
      <c r="O7" s="210">
        <f>T67</f>
        <v>8050</v>
      </c>
      <c r="P7" s="210"/>
      <c r="Q7" s="210">
        <f>U67</f>
        <v>5100</v>
      </c>
      <c r="R7" s="231"/>
      <c r="T7" s="143"/>
      <c r="U7" s="220"/>
      <c r="V7" s="221"/>
      <c r="W7" s="221"/>
      <c r="X7" s="222"/>
    </row>
    <row r="8" spans="1:24" s="65" customFormat="1" ht="15.75" customHeight="1" x14ac:dyDescent="0.25">
      <c r="A8"/>
      <c r="B8" s="171" t="s">
        <v>94</v>
      </c>
      <c r="C8" s="164"/>
      <c r="D8" s="105"/>
      <c r="E8" s="164" t="s">
        <v>109</v>
      </c>
      <c r="F8" s="164"/>
      <c r="H8" s="171" t="s">
        <v>92</v>
      </c>
      <c r="I8" s="164"/>
      <c r="J8" s="164"/>
      <c r="K8" s="172"/>
      <c r="M8" s="171" t="s">
        <v>120</v>
      </c>
      <c r="N8" s="164"/>
      <c r="O8" s="164" t="s">
        <v>124</v>
      </c>
      <c r="P8" s="164"/>
      <c r="Q8" s="164" t="s">
        <v>125</v>
      </c>
      <c r="R8" s="172"/>
      <c r="T8" s="143"/>
      <c r="U8" s="220"/>
      <c r="V8" s="221"/>
      <c r="W8" s="221"/>
      <c r="X8" s="222"/>
    </row>
    <row r="9" spans="1:24" s="65" customFormat="1" ht="15" x14ac:dyDescent="0.25">
      <c r="A9"/>
      <c r="B9" s="182">
        <f>(B7+E7)-1</f>
        <v>45314</v>
      </c>
      <c r="C9" s="183"/>
      <c r="D9" s="105"/>
      <c r="E9" s="183">
        <f>C67</f>
        <v>45313</v>
      </c>
      <c r="F9" s="183"/>
      <c r="H9" s="167">
        <f>H7-K67</f>
        <v>6456</v>
      </c>
      <c r="I9" s="168"/>
      <c r="J9" s="169">
        <f>J7-K67</f>
        <v>6456</v>
      </c>
      <c r="K9" s="170"/>
      <c r="L9" s="108"/>
      <c r="M9" s="173">
        <v>0</v>
      </c>
      <c r="N9" s="174"/>
      <c r="O9" s="210">
        <f>O67</f>
        <v>1725.2857142857142</v>
      </c>
      <c r="P9" s="210"/>
      <c r="Q9" s="229">
        <f>M67</f>
        <v>340.85714285714289</v>
      </c>
      <c r="R9" s="230"/>
      <c r="T9" s="143"/>
      <c r="U9" s="220"/>
      <c r="V9" s="221"/>
      <c r="W9" s="221"/>
      <c r="X9" s="222"/>
    </row>
    <row r="10" spans="1:24" s="65" customFormat="1" ht="15.75" customHeight="1" x14ac:dyDescent="0.25">
      <c r="A10"/>
      <c r="B10" s="171" t="s">
        <v>97</v>
      </c>
      <c r="C10" s="164"/>
      <c r="D10" s="105"/>
      <c r="E10" s="164" t="s">
        <v>117</v>
      </c>
      <c r="F10" s="164"/>
      <c r="H10" s="171" t="s">
        <v>95</v>
      </c>
      <c r="I10" s="164"/>
      <c r="J10" s="164" t="s">
        <v>110</v>
      </c>
      <c r="K10" s="172"/>
      <c r="L10" s="109"/>
      <c r="M10" s="171" t="s">
        <v>121</v>
      </c>
      <c r="N10" s="164"/>
      <c r="O10" s="164" t="s">
        <v>107</v>
      </c>
      <c r="P10" s="204"/>
      <c r="Q10" s="164" t="s">
        <v>130</v>
      </c>
      <c r="R10" s="204"/>
      <c r="T10" s="143"/>
      <c r="U10" s="220"/>
      <c r="V10" s="221"/>
      <c r="W10" s="221"/>
      <c r="X10" s="222"/>
    </row>
    <row r="11" spans="1:24" s="65" customFormat="1" ht="15.75" customHeight="1" thickBot="1" x14ac:dyDescent="0.3">
      <c r="A11"/>
      <c r="B11" s="146">
        <f>(E9-B7)+1</f>
        <v>22</v>
      </c>
      <c r="C11" s="147"/>
      <c r="D11" s="110"/>
      <c r="E11" s="166">
        <f>(E7-B11)</f>
        <v>1</v>
      </c>
      <c r="F11" s="166"/>
      <c r="H11" s="165">
        <f>K67</f>
        <v>9544</v>
      </c>
      <c r="I11" s="166"/>
      <c r="J11" s="193">
        <f>LARGE(B17:B66,1)</f>
        <v>18</v>
      </c>
      <c r="K11" s="194"/>
      <c r="M11" s="189">
        <v>0</v>
      </c>
      <c r="N11" s="190"/>
      <c r="O11" s="210">
        <f>P67</f>
        <v>0</v>
      </c>
      <c r="P11" s="216"/>
      <c r="Q11" s="210">
        <f>V67</f>
        <v>0</v>
      </c>
      <c r="R11" s="216"/>
      <c r="T11" s="143"/>
      <c r="U11" s="223"/>
      <c r="V11" s="224"/>
      <c r="W11" s="224"/>
      <c r="X11" s="225"/>
    </row>
    <row r="12" spans="1:24" s="65" customFormat="1" ht="15" customHeight="1" thickBot="1" x14ac:dyDescent="0.3">
      <c r="A12"/>
      <c r="I12" s="112"/>
      <c r="M12" s="171" t="s">
        <v>122</v>
      </c>
      <c r="N12" s="164"/>
      <c r="O12" s="164" t="s">
        <v>87</v>
      </c>
      <c r="P12" s="204"/>
      <c r="Q12" s="111"/>
      <c r="R12" s="109"/>
      <c r="T12" s="113"/>
      <c r="U12" s="114"/>
      <c r="V12" s="114"/>
      <c r="W12" s="114"/>
      <c r="X12" s="114"/>
    </row>
    <row r="13" spans="1:24" s="65" customFormat="1" ht="15" customHeight="1" thickBot="1" x14ac:dyDescent="0.3">
      <c r="A13"/>
      <c r="B13" s="160" t="s">
        <v>90</v>
      </c>
      <c r="C13" s="161"/>
      <c r="D13" s="115"/>
      <c r="E13" s="207"/>
      <c r="F13" s="208"/>
      <c r="G13" s="208"/>
      <c r="H13" s="208"/>
      <c r="I13" s="208"/>
      <c r="J13" s="208"/>
      <c r="K13" s="209"/>
      <c r="M13" s="191">
        <v>0</v>
      </c>
      <c r="N13" s="192"/>
      <c r="O13" s="205">
        <f>W67</f>
        <v>0</v>
      </c>
      <c r="P13" s="206"/>
      <c r="Q13" s="116"/>
      <c r="U13" s="226" t="s">
        <v>113</v>
      </c>
      <c r="V13" s="227"/>
      <c r="W13" s="227"/>
      <c r="X13" s="228"/>
    </row>
    <row r="14" spans="1:24" s="65" customFormat="1" ht="15.75" thickBot="1" x14ac:dyDescent="0.3">
      <c r="A14"/>
      <c r="Q14" s="117"/>
      <c r="R14" s="117"/>
      <c r="S14" s="117"/>
      <c r="T14" s="113"/>
      <c r="U14" s="114"/>
      <c r="V14" s="114"/>
      <c r="W14" s="114"/>
    </row>
    <row r="15" spans="1:24" s="65" customFormat="1" ht="15" customHeight="1" x14ac:dyDescent="0.25">
      <c r="A15"/>
      <c r="B15" s="154" t="s">
        <v>3</v>
      </c>
      <c r="C15" s="155"/>
      <c r="D15" s="155"/>
      <c r="E15" s="155"/>
      <c r="F15" s="155"/>
      <c r="G15" s="155"/>
      <c r="H15" s="155"/>
      <c r="I15" s="155"/>
      <c r="J15" s="156"/>
      <c r="K15" s="157" t="s">
        <v>0</v>
      </c>
      <c r="L15" s="158"/>
      <c r="M15" s="157" t="s">
        <v>2</v>
      </c>
      <c r="N15" s="155"/>
      <c r="O15" s="158"/>
      <c r="P15" s="97" t="s">
        <v>106</v>
      </c>
      <c r="Q15" s="214" t="s">
        <v>1</v>
      </c>
      <c r="R15" s="199"/>
      <c r="S15" s="199"/>
      <c r="T15" s="215"/>
      <c r="U15" s="157" t="s">
        <v>128</v>
      </c>
      <c r="V15" s="199"/>
      <c r="W15" s="158"/>
      <c r="X15" s="96" t="s">
        <v>7</v>
      </c>
    </row>
    <row r="16" spans="1:24" s="65" customFormat="1" ht="15" x14ac:dyDescent="0.25">
      <c r="A16"/>
      <c r="B16" s="66" t="s">
        <v>9</v>
      </c>
      <c r="C16" s="67" t="s">
        <v>10</v>
      </c>
      <c r="D16" s="67"/>
      <c r="E16" s="67" t="s">
        <v>114</v>
      </c>
      <c r="F16" s="153" t="s">
        <v>11</v>
      </c>
      <c r="G16" s="153"/>
      <c r="H16" s="153" t="s">
        <v>12</v>
      </c>
      <c r="I16" s="153"/>
      <c r="J16" s="98" t="s">
        <v>96</v>
      </c>
      <c r="K16" s="99" t="s">
        <v>9</v>
      </c>
      <c r="L16" s="100" t="s">
        <v>5</v>
      </c>
      <c r="M16" s="99" t="s">
        <v>13</v>
      </c>
      <c r="N16" s="67" t="s">
        <v>14</v>
      </c>
      <c r="O16" s="100" t="s">
        <v>4</v>
      </c>
      <c r="P16" s="101" t="s">
        <v>4</v>
      </c>
      <c r="Q16" s="99" t="s">
        <v>115</v>
      </c>
      <c r="R16" s="153" t="s">
        <v>6</v>
      </c>
      <c r="S16" s="153"/>
      <c r="T16" s="100" t="s">
        <v>4</v>
      </c>
      <c r="U16" s="99" t="s">
        <v>88</v>
      </c>
      <c r="V16" s="141" t="s">
        <v>129</v>
      </c>
      <c r="W16" s="100" t="s">
        <v>111</v>
      </c>
      <c r="X16" s="102" t="s">
        <v>8</v>
      </c>
    </row>
    <row r="17" spans="1:42" s="65" customFormat="1" ht="15" x14ac:dyDescent="0.25">
      <c r="A17"/>
      <c r="B17" s="68">
        <f>IF(E5="","",1)</f>
        <v>1</v>
      </c>
      <c r="C17" s="69">
        <f>IF(B7="","",B7)</f>
        <v>45292</v>
      </c>
      <c r="D17" s="70">
        <f>IF(C17="","",WEEKDAY(C17,2))</f>
        <v>1</v>
      </c>
      <c r="E17" s="70" t="str">
        <f>IF(D17=1,"Segunda",IF(D17=2,"Terça",IF(D17=3,"Quarta",IF(D17=4,"Quinta",IF(D17=5,"Sexta",IF(D17=6,"Sábado",IF(D17=7,"Domingo"," ")))))))</f>
        <v>Segunda</v>
      </c>
      <c r="F17" s="149" t="str">
        <f>IF(E5="","",E5)</f>
        <v>Belo Horizonte</v>
      </c>
      <c r="G17" s="149"/>
      <c r="H17" s="152" t="s">
        <v>146</v>
      </c>
      <c r="I17" s="152"/>
      <c r="J17" s="71" t="s">
        <v>148</v>
      </c>
      <c r="K17" s="72">
        <v>612</v>
      </c>
      <c r="L17" s="73">
        <f>IF(B17&gt;0,K17," ")</f>
        <v>612</v>
      </c>
      <c r="M17" s="74">
        <f>K17/$J$5</f>
        <v>21.857142857142858</v>
      </c>
      <c r="N17" s="75">
        <v>6.2</v>
      </c>
      <c r="O17" s="76">
        <f t="shared" ref="O17:O66" si="0">IF(B17&gt;0,N17*M17," ")</f>
        <v>135.51428571428573</v>
      </c>
      <c r="P17" s="77"/>
      <c r="Q17" s="72">
        <v>1</v>
      </c>
      <c r="R17" s="148"/>
      <c r="S17" s="148"/>
      <c r="T17" s="78">
        <v>350</v>
      </c>
      <c r="U17" s="79">
        <v>200</v>
      </c>
      <c r="V17" s="142"/>
      <c r="W17" s="78"/>
      <c r="X17" s="80">
        <f t="shared" ref="X17:X22" si="1">IF(B17&gt;0,T17+O17+U17+W17+P17," ")</f>
        <v>685.51428571428573</v>
      </c>
    </row>
    <row r="18" spans="1:42" s="65" customFormat="1" ht="15" x14ac:dyDescent="0.25">
      <c r="A18"/>
      <c r="B18" s="68">
        <f>IF(Q17="",0,IF(Q17&gt;=0,B17+1))</f>
        <v>2</v>
      </c>
      <c r="C18" s="69">
        <f>IF(Q17="",C17,IF(Q17=0,C17,IF(Q17&gt;0,C17+Q17)))</f>
        <v>45293</v>
      </c>
      <c r="D18" s="70">
        <f t="shared" ref="D18:D66" si="2">IF(C18="","",WEEKDAY(C18,2))</f>
        <v>2</v>
      </c>
      <c r="E18" s="69" t="str">
        <f>IF(D18=1,"Segunda",IF(D18=2,"Terça",IF(D18=3,"Quarta",IF(D18=4,"Quinta",IF(D18=5,"Sexta",IF(D18=6,"Sábado",IF(D18=7,"Domingo"," ")))))))</f>
        <v>Terça</v>
      </c>
      <c r="F18" s="149" t="str">
        <f>IF(B18&gt;0,H17," ")</f>
        <v>Piracicaba</v>
      </c>
      <c r="G18" s="149"/>
      <c r="H18" s="152" t="s">
        <v>147</v>
      </c>
      <c r="I18" s="152"/>
      <c r="J18" s="71" t="s">
        <v>149</v>
      </c>
      <c r="K18" s="72">
        <v>673</v>
      </c>
      <c r="L18" s="73">
        <f>IF(B18&gt;0,K18+L17," ")</f>
        <v>1285</v>
      </c>
      <c r="M18" s="74">
        <f>IF(B18&gt;0,K18/$J$5," ")</f>
        <v>24.035714285714285</v>
      </c>
      <c r="N18" s="75">
        <v>6.2</v>
      </c>
      <c r="O18" s="76">
        <f t="shared" si="0"/>
        <v>149.02142857142857</v>
      </c>
      <c r="P18" s="77"/>
      <c r="Q18" s="72">
        <v>1</v>
      </c>
      <c r="R18" s="148"/>
      <c r="S18" s="148"/>
      <c r="T18" s="78">
        <v>350</v>
      </c>
      <c r="U18" s="79">
        <v>200</v>
      </c>
      <c r="V18" s="142"/>
      <c r="W18" s="78"/>
      <c r="X18" s="80">
        <f t="shared" si="1"/>
        <v>699.0214285714286</v>
      </c>
    </row>
    <row r="19" spans="1:42" s="65" customFormat="1" ht="15" x14ac:dyDescent="0.25">
      <c r="A19"/>
      <c r="B19" s="68">
        <f t="shared" ref="B19:B28" si="3">IF(Q18="",0,IF(Q18&gt;=0,B18+1))</f>
        <v>3</v>
      </c>
      <c r="C19" s="69">
        <f t="shared" ref="C19:C66" si="4">IF(Q18="",C18,IF(Q18=0,C18,IF(Q18&gt;0,C18+Q18)))</f>
        <v>45294</v>
      </c>
      <c r="D19" s="70">
        <f t="shared" si="2"/>
        <v>3</v>
      </c>
      <c r="E19" s="69" t="str">
        <f t="shared" ref="E19:E66" si="5">IF(D19=1,"Segunda",IF(D19=2,"Terça",IF(D19=3,"Quarta",IF(D19=4,"Quinta",IF(D19=5,"Sexta",IF(D19=6,"Sábado",IF(D19=7,"Domingo"," ")))))))</f>
        <v>Quarta</v>
      </c>
      <c r="F19" s="149" t="str">
        <f>IF(B19&gt;0,H18," ")</f>
        <v>Porto Uniao</v>
      </c>
      <c r="G19" s="149"/>
      <c r="H19" s="152" t="s">
        <v>150</v>
      </c>
      <c r="I19" s="152"/>
      <c r="J19" s="71" t="s">
        <v>151</v>
      </c>
      <c r="K19" s="72">
        <v>576</v>
      </c>
      <c r="L19" s="73">
        <f>IF(B19&gt;0,K19+L18," ")</f>
        <v>1861</v>
      </c>
      <c r="M19" s="74">
        <f>IF(B19&gt;0,K19/$J$5," ")</f>
        <v>20.571428571428573</v>
      </c>
      <c r="N19" s="75">
        <v>6.2</v>
      </c>
      <c r="O19" s="76">
        <f t="shared" si="0"/>
        <v>127.54285714285716</v>
      </c>
      <c r="P19" s="77"/>
      <c r="Q19" s="72">
        <v>1</v>
      </c>
      <c r="R19" s="148"/>
      <c r="S19" s="148"/>
      <c r="T19" s="78">
        <v>350</v>
      </c>
      <c r="U19" s="79">
        <v>200</v>
      </c>
      <c r="V19" s="142"/>
      <c r="W19" s="78"/>
      <c r="X19" s="80">
        <f t="shared" si="1"/>
        <v>677.5428571428572</v>
      </c>
    </row>
    <row r="20" spans="1:42" s="65" customFormat="1" ht="15" x14ac:dyDescent="0.25">
      <c r="A20"/>
      <c r="B20" s="68">
        <f t="shared" si="3"/>
        <v>4</v>
      </c>
      <c r="C20" s="69">
        <f t="shared" si="4"/>
        <v>45295</v>
      </c>
      <c r="D20" s="70">
        <f t="shared" si="2"/>
        <v>4</v>
      </c>
      <c r="E20" s="69" t="str">
        <f t="shared" si="5"/>
        <v>Quinta</v>
      </c>
      <c r="F20" s="149" t="str">
        <f>IF(B20&gt;0,H19," ")</f>
        <v>Santa Maria</v>
      </c>
      <c r="G20" s="149"/>
      <c r="H20" s="152" t="s">
        <v>152</v>
      </c>
      <c r="I20" s="152"/>
      <c r="J20" s="71" t="s">
        <v>132</v>
      </c>
      <c r="K20" s="72">
        <v>595</v>
      </c>
      <c r="L20" s="73">
        <f t="shared" ref="L20:L66" si="6">IF(B20&gt;0,K20+L19," ")</f>
        <v>2456</v>
      </c>
      <c r="M20" s="74">
        <f>IF(B20&gt;0,K20/$J$5," ")</f>
        <v>21.25</v>
      </c>
      <c r="N20" s="75">
        <v>3</v>
      </c>
      <c r="O20" s="76">
        <f t="shared" si="0"/>
        <v>63.75</v>
      </c>
      <c r="P20" s="77"/>
      <c r="Q20" s="72">
        <v>1</v>
      </c>
      <c r="R20" s="148"/>
      <c r="S20" s="148"/>
      <c r="T20" s="78">
        <v>300</v>
      </c>
      <c r="U20" s="79">
        <v>150</v>
      </c>
      <c r="V20" s="142"/>
      <c r="W20" s="78"/>
      <c r="X20" s="80">
        <f t="shared" si="1"/>
        <v>513.75</v>
      </c>
    </row>
    <row r="21" spans="1:42" s="65" customFormat="1" ht="15" x14ac:dyDescent="0.25">
      <c r="A21"/>
      <c r="B21" s="68">
        <f t="shared" si="3"/>
        <v>5</v>
      </c>
      <c r="C21" s="69">
        <f t="shared" si="4"/>
        <v>45296</v>
      </c>
      <c r="D21" s="70">
        <f t="shared" si="2"/>
        <v>5</v>
      </c>
      <c r="E21" s="69" t="str">
        <f t="shared" si="5"/>
        <v>Sexta</v>
      </c>
      <c r="F21" s="149" t="str">
        <f t="shared" ref="F21:F23" si="7">IF(B21&gt;0,H20," ")</f>
        <v>Federal</v>
      </c>
      <c r="G21" s="149"/>
      <c r="H21" s="152" t="s">
        <v>153</v>
      </c>
      <c r="I21" s="152"/>
      <c r="J21" s="71" t="s">
        <v>132</v>
      </c>
      <c r="K21" s="72">
        <v>571</v>
      </c>
      <c r="L21" s="73">
        <f t="shared" si="6"/>
        <v>3027</v>
      </c>
      <c r="M21" s="74">
        <f t="shared" ref="M21:M65" si="8">IF(B21&gt;0,K21/$J$5," ")</f>
        <v>20.392857142857142</v>
      </c>
      <c r="N21" s="75">
        <v>3</v>
      </c>
      <c r="O21" s="76">
        <f t="shared" si="0"/>
        <v>61.178571428571431</v>
      </c>
      <c r="P21" s="77"/>
      <c r="Q21" s="72">
        <v>1</v>
      </c>
      <c r="R21" s="148"/>
      <c r="S21" s="148"/>
      <c r="T21" s="78">
        <v>300</v>
      </c>
      <c r="U21" s="79">
        <v>150</v>
      </c>
      <c r="V21" s="142"/>
      <c r="W21" s="78"/>
      <c r="X21" s="80">
        <f t="shared" si="1"/>
        <v>511.17857142857144</v>
      </c>
    </row>
    <row r="22" spans="1:42" s="65" customFormat="1" ht="15" x14ac:dyDescent="0.25">
      <c r="A22"/>
      <c r="B22" s="68">
        <f t="shared" si="3"/>
        <v>6</v>
      </c>
      <c r="C22" s="69">
        <f t="shared" si="4"/>
        <v>45297</v>
      </c>
      <c r="D22" s="70">
        <f t="shared" si="2"/>
        <v>6</v>
      </c>
      <c r="E22" s="69" t="str">
        <f t="shared" si="5"/>
        <v>Sábado</v>
      </c>
      <c r="F22" s="149" t="str">
        <f t="shared" si="7"/>
        <v>Córdova</v>
      </c>
      <c r="G22" s="149"/>
      <c r="H22" s="152" t="s">
        <v>133</v>
      </c>
      <c r="I22" s="152"/>
      <c r="J22" s="71" t="s">
        <v>132</v>
      </c>
      <c r="K22" s="72">
        <v>657</v>
      </c>
      <c r="L22" s="73">
        <f t="shared" si="6"/>
        <v>3684</v>
      </c>
      <c r="M22" s="74">
        <f t="shared" si="8"/>
        <v>23.464285714285715</v>
      </c>
      <c r="N22" s="75">
        <v>3</v>
      </c>
      <c r="O22" s="76">
        <f t="shared" si="0"/>
        <v>70.392857142857139</v>
      </c>
      <c r="P22" s="77"/>
      <c r="Q22" s="72">
        <v>2</v>
      </c>
      <c r="R22" s="148"/>
      <c r="S22" s="148"/>
      <c r="T22" s="78">
        <v>700</v>
      </c>
      <c r="U22" s="79">
        <v>400</v>
      </c>
      <c r="V22" s="142"/>
      <c r="W22" s="78"/>
      <c r="X22" s="80">
        <f t="shared" si="1"/>
        <v>1170.3928571428571</v>
      </c>
    </row>
    <row r="23" spans="1:42" s="65" customFormat="1" ht="15" x14ac:dyDescent="0.25">
      <c r="A23"/>
      <c r="B23" s="68">
        <f t="shared" si="3"/>
        <v>7</v>
      </c>
      <c r="C23" s="69">
        <f t="shared" si="4"/>
        <v>45299</v>
      </c>
      <c r="D23" s="70">
        <f t="shared" si="2"/>
        <v>1</v>
      </c>
      <c r="E23" s="69" t="str">
        <f t="shared" si="5"/>
        <v>Segunda</v>
      </c>
      <c r="F23" s="149" t="str">
        <f t="shared" si="7"/>
        <v>Mendoza</v>
      </c>
      <c r="G23" s="149"/>
      <c r="H23" s="152" t="s">
        <v>154</v>
      </c>
      <c r="I23" s="152"/>
      <c r="J23" s="71" t="s">
        <v>134</v>
      </c>
      <c r="K23" s="72">
        <v>384</v>
      </c>
      <c r="L23" s="73">
        <f t="shared" si="6"/>
        <v>4068</v>
      </c>
      <c r="M23" s="74">
        <f t="shared" si="8"/>
        <v>13.714285714285714</v>
      </c>
      <c r="N23" s="75">
        <v>7.5</v>
      </c>
      <c r="O23" s="76">
        <f t="shared" si="0"/>
        <v>102.85714285714285</v>
      </c>
      <c r="P23" s="77"/>
      <c r="Q23" s="72">
        <v>1</v>
      </c>
      <c r="R23" s="148"/>
      <c r="S23" s="148"/>
      <c r="T23" s="78">
        <v>450</v>
      </c>
      <c r="U23" s="79">
        <v>300</v>
      </c>
      <c r="V23" s="142"/>
      <c r="W23" s="78"/>
      <c r="X23" s="80">
        <f t="shared" ref="X23:X65" si="9">IF(B23&gt;0,T23+O23+U23+W23+P23," ")</f>
        <v>852.85714285714289</v>
      </c>
    </row>
    <row r="24" spans="1:42" s="65" customFormat="1" ht="15" x14ac:dyDescent="0.25">
      <c r="A24"/>
      <c r="B24" s="68">
        <f t="shared" si="3"/>
        <v>8</v>
      </c>
      <c r="C24" s="69">
        <f t="shared" si="4"/>
        <v>45300</v>
      </c>
      <c r="D24" s="70">
        <f t="shared" si="2"/>
        <v>2</v>
      </c>
      <c r="E24" s="69" t="str">
        <f t="shared" si="5"/>
        <v>Terça</v>
      </c>
      <c r="F24" s="149" t="str">
        <f t="shared" ref="F24:F37" si="10">IF(B24&gt;0,H23," ")</f>
        <v>Vina Del Mar</v>
      </c>
      <c r="G24" s="149"/>
      <c r="H24" s="152" t="s">
        <v>143</v>
      </c>
      <c r="I24" s="152"/>
      <c r="J24" s="71" t="s">
        <v>134</v>
      </c>
      <c r="K24" s="72">
        <v>744</v>
      </c>
      <c r="L24" s="73">
        <f t="shared" si="6"/>
        <v>4812</v>
      </c>
      <c r="M24" s="74">
        <f t="shared" si="8"/>
        <v>26.571428571428573</v>
      </c>
      <c r="N24" s="75">
        <v>7.5</v>
      </c>
      <c r="O24" s="76">
        <f t="shared" si="0"/>
        <v>199.28571428571431</v>
      </c>
      <c r="P24" s="77"/>
      <c r="Q24" s="72">
        <v>1</v>
      </c>
      <c r="R24" s="148"/>
      <c r="S24" s="148"/>
      <c r="T24" s="78">
        <v>450</v>
      </c>
      <c r="U24" s="79">
        <v>300</v>
      </c>
      <c r="V24" s="142"/>
      <c r="W24" s="78"/>
      <c r="X24" s="80">
        <f t="shared" si="9"/>
        <v>949.28571428571433</v>
      </c>
    </row>
    <row r="25" spans="1:42" s="65" customFormat="1" ht="15" x14ac:dyDescent="0.25">
      <c r="A25"/>
      <c r="B25" s="68">
        <f t="shared" si="3"/>
        <v>9</v>
      </c>
      <c r="C25" s="69">
        <f t="shared" si="4"/>
        <v>45301</v>
      </c>
      <c r="D25" s="70">
        <f t="shared" si="2"/>
        <v>3</v>
      </c>
      <c r="E25" s="69" t="str">
        <f t="shared" si="5"/>
        <v>Quarta</v>
      </c>
      <c r="F25" s="149" t="str">
        <f t="shared" si="10"/>
        <v>Copiapó</v>
      </c>
      <c r="G25" s="149"/>
      <c r="H25" s="152" t="s">
        <v>136</v>
      </c>
      <c r="I25" s="152"/>
      <c r="J25" s="71" t="s">
        <v>134</v>
      </c>
      <c r="K25" s="72">
        <v>570</v>
      </c>
      <c r="L25" s="73">
        <f t="shared" si="6"/>
        <v>5382</v>
      </c>
      <c r="M25" s="74">
        <f t="shared" si="8"/>
        <v>20.357142857142858</v>
      </c>
      <c r="N25" s="75">
        <v>7.5</v>
      </c>
      <c r="O25" s="76">
        <f t="shared" si="0"/>
        <v>152.67857142857144</v>
      </c>
      <c r="P25" s="77"/>
      <c r="Q25" s="72">
        <v>1</v>
      </c>
      <c r="R25" s="148"/>
      <c r="S25" s="148"/>
      <c r="T25" s="78">
        <v>450</v>
      </c>
      <c r="U25" s="79">
        <v>300</v>
      </c>
      <c r="V25" s="142"/>
      <c r="W25" s="78"/>
      <c r="X25" s="80">
        <f t="shared" si="9"/>
        <v>902.67857142857144</v>
      </c>
    </row>
    <row r="26" spans="1:42" s="65" customFormat="1" ht="15" x14ac:dyDescent="0.25">
      <c r="A26"/>
      <c r="B26" s="68">
        <f t="shared" si="3"/>
        <v>10</v>
      </c>
      <c r="C26" s="69">
        <f t="shared" si="4"/>
        <v>45302</v>
      </c>
      <c r="D26" s="70">
        <f t="shared" si="2"/>
        <v>4</v>
      </c>
      <c r="E26" s="69" t="str">
        <f t="shared" si="5"/>
        <v>Quinta</v>
      </c>
      <c r="F26" s="149" t="str">
        <f t="shared" si="10"/>
        <v>Antofagasta</v>
      </c>
      <c r="G26" s="149"/>
      <c r="H26" s="152" t="s">
        <v>137</v>
      </c>
      <c r="I26" s="152"/>
      <c r="J26" s="71" t="s">
        <v>134</v>
      </c>
      <c r="K26" s="72">
        <v>310</v>
      </c>
      <c r="L26" s="73">
        <f t="shared" si="6"/>
        <v>5692</v>
      </c>
      <c r="M26" s="74">
        <f t="shared" si="8"/>
        <v>11.071428571428571</v>
      </c>
      <c r="N26" s="75">
        <v>7.5</v>
      </c>
      <c r="O26" s="76">
        <f t="shared" si="0"/>
        <v>83.035714285714278</v>
      </c>
      <c r="P26" s="77"/>
      <c r="Q26" s="72">
        <v>3</v>
      </c>
      <c r="R26" s="148"/>
      <c r="S26" s="148"/>
      <c r="T26" s="78">
        <v>1700</v>
      </c>
      <c r="U26" s="79">
        <v>1000</v>
      </c>
      <c r="V26" s="142"/>
      <c r="W26" s="78"/>
      <c r="X26" s="80">
        <f t="shared" si="9"/>
        <v>2783.0357142857142</v>
      </c>
    </row>
    <row r="27" spans="1:42" s="65" customFormat="1" ht="15" x14ac:dyDescent="0.25">
      <c r="A27"/>
      <c r="B27" s="68">
        <f t="shared" si="3"/>
        <v>11</v>
      </c>
      <c r="C27" s="69">
        <f t="shared" si="4"/>
        <v>45305</v>
      </c>
      <c r="D27" s="70">
        <f t="shared" si="2"/>
        <v>7</v>
      </c>
      <c r="E27" s="69" t="str">
        <f t="shared" si="5"/>
        <v>Domingo</v>
      </c>
      <c r="F27" s="149" t="str">
        <f t="shared" si="10"/>
        <v>San Pedro do Atacama</v>
      </c>
      <c r="G27" s="149"/>
      <c r="H27" s="152" t="s">
        <v>138</v>
      </c>
      <c r="I27" s="152"/>
      <c r="J27" s="71" t="s">
        <v>132</v>
      </c>
      <c r="K27" s="72">
        <v>436</v>
      </c>
      <c r="L27" s="73">
        <f t="shared" si="6"/>
        <v>6128</v>
      </c>
      <c r="M27" s="74">
        <f t="shared" si="8"/>
        <v>15.571428571428571</v>
      </c>
      <c r="N27" s="75">
        <v>3</v>
      </c>
      <c r="O27" s="76">
        <f t="shared" si="0"/>
        <v>46.714285714285715</v>
      </c>
      <c r="P27" s="77"/>
      <c r="Q27" s="72">
        <v>1</v>
      </c>
      <c r="R27" s="148"/>
      <c r="S27" s="148"/>
      <c r="T27" s="78">
        <v>300</v>
      </c>
      <c r="U27" s="79">
        <v>200</v>
      </c>
      <c r="V27" s="142"/>
      <c r="W27" s="78"/>
      <c r="X27" s="80">
        <f t="shared" si="9"/>
        <v>546.71428571428578</v>
      </c>
    </row>
    <row r="28" spans="1:42" s="65" customFormat="1" ht="15" x14ac:dyDescent="0.25">
      <c r="A28"/>
      <c r="B28" s="68">
        <f t="shared" si="3"/>
        <v>12</v>
      </c>
      <c r="C28" s="69">
        <f t="shared" si="4"/>
        <v>45306</v>
      </c>
      <c r="D28" s="70">
        <f t="shared" si="2"/>
        <v>1</v>
      </c>
      <c r="E28" s="69" t="str">
        <f t="shared" si="5"/>
        <v>Segunda</v>
      </c>
      <c r="F28" s="149" t="str">
        <f t="shared" si="10"/>
        <v>Tilcara</v>
      </c>
      <c r="G28" s="149"/>
      <c r="H28" s="152" t="s">
        <v>155</v>
      </c>
      <c r="I28" s="152"/>
      <c r="J28" s="71" t="s">
        <v>132</v>
      </c>
      <c r="K28" s="72">
        <v>174</v>
      </c>
      <c r="L28" s="73">
        <f t="shared" si="6"/>
        <v>6302</v>
      </c>
      <c r="M28" s="74">
        <f t="shared" si="8"/>
        <v>6.2142857142857144</v>
      </c>
      <c r="N28" s="75">
        <v>3</v>
      </c>
      <c r="O28" s="76">
        <f t="shared" si="0"/>
        <v>18.642857142857142</v>
      </c>
      <c r="P28" s="77"/>
      <c r="Q28" s="72">
        <v>1</v>
      </c>
      <c r="R28" s="148"/>
      <c r="S28" s="148"/>
      <c r="T28" s="78">
        <v>300</v>
      </c>
      <c r="U28" s="79">
        <v>200</v>
      </c>
      <c r="V28" s="142"/>
      <c r="W28" s="78"/>
      <c r="X28" s="80">
        <f t="shared" si="9"/>
        <v>518.64285714285711</v>
      </c>
      <c r="AP28" s="118"/>
    </row>
    <row r="29" spans="1:42" s="65" customFormat="1" ht="15" x14ac:dyDescent="0.25">
      <c r="A29"/>
      <c r="B29" s="68">
        <f t="shared" ref="B29:B66" si="11">IF(Q28="",0,IF(Q28&gt;=0,B28+1))</f>
        <v>13</v>
      </c>
      <c r="C29" s="69">
        <f t="shared" si="4"/>
        <v>45307</v>
      </c>
      <c r="D29" s="70">
        <f t="shared" si="2"/>
        <v>2</v>
      </c>
      <c r="E29" s="69" t="str">
        <f t="shared" si="5"/>
        <v>Terça</v>
      </c>
      <c r="F29" s="149" t="str">
        <f t="shared" si="10"/>
        <v>Salta</v>
      </c>
      <c r="G29" s="149"/>
      <c r="H29" s="150" t="s">
        <v>139</v>
      </c>
      <c r="I29" s="151"/>
      <c r="J29" s="71" t="s">
        <v>132</v>
      </c>
      <c r="K29" s="72">
        <v>189</v>
      </c>
      <c r="L29" s="73">
        <f t="shared" si="6"/>
        <v>6491</v>
      </c>
      <c r="M29" s="74">
        <f t="shared" si="8"/>
        <v>6.75</v>
      </c>
      <c r="N29" s="75">
        <v>3</v>
      </c>
      <c r="O29" s="76">
        <f t="shared" si="0"/>
        <v>20.25</v>
      </c>
      <c r="P29" s="77"/>
      <c r="Q29" s="72">
        <v>1</v>
      </c>
      <c r="R29" s="148"/>
      <c r="S29" s="148"/>
      <c r="T29" s="78">
        <v>300</v>
      </c>
      <c r="U29" s="79">
        <v>300</v>
      </c>
      <c r="V29" s="142"/>
      <c r="W29" s="78"/>
      <c r="X29" s="80">
        <f t="shared" si="9"/>
        <v>620.25</v>
      </c>
    </row>
    <row r="30" spans="1:42" s="65" customFormat="1" ht="15" x14ac:dyDescent="0.25">
      <c r="A30"/>
      <c r="B30" s="68">
        <f>IF(Q29="",0,IF(Q29&gt;=0,B29+1))</f>
        <v>14</v>
      </c>
      <c r="C30" s="69">
        <f t="shared" si="4"/>
        <v>45308</v>
      </c>
      <c r="D30" s="70">
        <f t="shared" si="2"/>
        <v>3</v>
      </c>
      <c r="E30" s="69" t="str">
        <f t="shared" si="5"/>
        <v>Quarta</v>
      </c>
      <c r="F30" s="149" t="str">
        <f t="shared" si="10"/>
        <v>Cafayate</v>
      </c>
      <c r="G30" s="149"/>
      <c r="H30" s="150" t="s">
        <v>141</v>
      </c>
      <c r="I30" s="151"/>
      <c r="J30" s="71" t="s">
        <v>132</v>
      </c>
      <c r="K30" s="72">
        <v>270</v>
      </c>
      <c r="L30" s="73">
        <f t="shared" si="6"/>
        <v>6761</v>
      </c>
      <c r="M30" s="74">
        <f t="shared" si="8"/>
        <v>9.6428571428571423</v>
      </c>
      <c r="N30" s="75">
        <v>3</v>
      </c>
      <c r="O30" s="76">
        <f t="shared" si="0"/>
        <v>28.928571428571427</v>
      </c>
      <c r="P30" s="77"/>
      <c r="Q30" s="72">
        <v>1</v>
      </c>
      <c r="R30" s="148"/>
      <c r="S30" s="148"/>
      <c r="T30" s="78">
        <v>400</v>
      </c>
      <c r="U30" s="79">
        <v>300</v>
      </c>
      <c r="V30" s="142"/>
      <c r="W30" s="78"/>
      <c r="X30" s="80">
        <f t="shared" si="9"/>
        <v>728.92857142857144</v>
      </c>
    </row>
    <row r="31" spans="1:42" s="65" customFormat="1" ht="15" x14ac:dyDescent="0.25">
      <c r="A31"/>
      <c r="B31" s="68">
        <f t="shared" si="11"/>
        <v>15</v>
      </c>
      <c r="C31" s="69">
        <f t="shared" si="4"/>
        <v>45309</v>
      </c>
      <c r="D31" s="70">
        <f t="shared" si="2"/>
        <v>4</v>
      </c>
      <c r="E31" s="69" t="str">
        <f t="shared" si="5"/>
        <v>Quinta</v>
      </c>
      <c r="F31" s="149" t="str">
        <f t="shared" si="10"/>
        <v>Termas Rio Hondo</v>
      </c>
      <c r="G31" s="149"/>
      <c r="H31" s="150" t="s">
        <v>140</v>
      </c>
      <c r="I31" s="151"/>
      <c r="J31" s="71" t="s">
        <v>132</v>
      </c>
      <c r="K31" s="72">
        <v>696</v>
      </c>
      <c r="L31" s="73">
        <f t="shared" si="6"/>
        <v>7457</v>
      </c>
      <c r="M31" s="74">
        <f t="shared" si="8"/>
        <v>24.857142857142858</v>
      </c>
      <c r="N31" s="75">
        <v>3</v>
      </c>
      <c r="O31" s="76">
        <f t="shared" si="0"/>
        <v>74.571428571428569</v>
      </c>
      <c r="P31" s="77"/>
      <c r="Q31" s="72">
        <v>1</v>
      </c>
      <c r="R31" s="148"/>
      <c r="S31" s="148"/>
      <c r="T31" s="78">
        <v>300</v>
      </c>
      <c r="U31" s="79">
        <v>200</v>
      </c>
      <c r="V31" s="142"/>
      <c r="W31" s="78"/>
      <c r="X31" s="80">
        <f t="shared" si="9"/>
        <v>574.57142857142856</v>
      </c>
    </row>
    <row r="32" spans="1:42" s="65" customFormat="1" ht="15" x14ac:dyDescent="0.25">
      <c r="A32"/>
      <c r="B32" s="68">
        <f t="shared" si="11"/>
        <v>16</v>
      </c>
      <c r="C32" s="69">
        <f t="shared" si="4"/>
        <v>45310</v>
      </c>
      <c r="D32" s="70">
        <f t="shared" si="2"/>
        <v>5</v>
      </c>
      <c r="E32" s="69" t="str">
        <f t="shared" si="5"/>
        <v>Sexta</v>
      </c>
      <c r="F32" s="149" t="str">
        <f t="shared" si="10"/>
        <v>Corrientes</v>
      </c>
      <c r="G32" s="149"/>
      <c r="H32" s="150" t="s">
        <v>156</v>
      </c>
      <c r="I32" s="151"/>
      <c r="J32" s="71" t="s">
        <v>135</v>
      </c>
      <c r="K32" s="72">
        <v>623</v>
      </c>
      <c r="L32" s="73">
        <f t="shared" si="6"/>
        <v>8080</v>
      </c>
      <c r="M32" s="74">
        <f t="shared" si="8"/>
        <v>22.25</v>
      </c>
      <c r="N32" s="75">
        <v>3</v>
      </c>
      <c r="O32" s="76">
        <f t="shared" si="0"/>
        <v>66.75</v>
      </c>
      <c r="P32" s="77"/>
      <c r="Q32" s="72">
        <v>2</v>
      </c>
      <c r="R32" s="148"/>
      <c r="S32" s="148"/>
      <c r="T32" s="78">
        <v>700</v>
      </c>
      <c r="U32" s="79">
        <v>500</v>
      </c>
      <c r="V32" s="142"/>
      <c r="W32" s="78"/>
      <c r="X32" s="80">
        <f t="shared" si="9"/>
        <v>1266.75</v>
      </c>
    </row>
    <row r="33" spans="1:24" s="65" customFormat="1" ht="15" x14ac:dyDescent="0.25">
      <c r="A33"/>
      <c r="B33" s="68">
        <f t="shared" ref="B33:B40" si="12">IF(Q32="",0,IF(Q32&gt;=0,B32+1))</f>
        <v>17</v>
      </c>
      <c r="C33" s="69">
        <f t="shared" ref="C33:C40" si="13">IF(Q32="",C32,IF(Q32=0,C32,IF(Q32&gt;0,C32+Q32)))</f>
        <v>45312</v>
      </c>
      <c r="D33" s="70">
        <f t="shared" si="2"/>
        <v>7</v>
      </c>
      <c r="E33" s="69" t="str">
        <f t="shared" si="5"/>
        <v>Domingo</v>
      </c>
      <c r="F33" s="149" t="str">
        <f t="shared" si="10"/>
        <v>Foz do Iguaçu</v>
      </c>
      <c r="G33" s="149"/>
      <c r="H33" s="150" t="s">
        <v>145</v>
      </c>
      <c r="I33" s="151"/>
      <c r="J33" s="71" t="s">
        <v>148</v>
      </c>
      <c r="K33" s="72">
        <v>689</v>
      </c>
      <c r="L33" s="73">
        <f t="shared" si="6"/>
        <v>8769</v>
      </c>
      <c r="M33" s="74">
        <f t="shared" si="8"/>
        <v>24.607142857142858</v>
      </c>
      <c r="N33" s="75">
        <v>6.2</v>
      </c>
      <c r="O33" s="76">
        <f t="shared" si="0"/>
        <v>152.56428571428572</v>
      </c>
      <c r="P33" s="77"/>
      <c r="Q33" s="72">
        <v>1</v>
      </c>
      <c r="R33" s="148"/>
      <c r="S33" s="148"/>
      <c r="T33" s="78">
        <v>350</v>
      </c>
      <c r="U33" s="79">
        <v>200</v>
      </c>
      <c r="V33" s="142"/>
      <c r="W33" s="78"/>
      <c r="X33" s="80">
        <f t="shared" si="9"/>
        <v>702.56428571428569</v>
      </c>
    </row>
    <row r="34" spans="1:24" s="65" customFormat="1" ht="15" x14ac:dyDescent="0.25">
      <c r="A34"/>
      <c r="B34" s="68">
        <f t="shared" si="12"/>
        <v>18</v>
      </c>
      <c r="C34" s="69">
        <f t="shared" si="13"/>
        <v>45313</v>
      </c>
      <c r="D34" s="70">
        <f t="shared" si="2"/>
        <v>1</v>
      </c>
      <c r="E34" s="69" t="str">
        <f t="shared" si="5"/>
        <v>Segunda</v>
      </c>
      <c r="F34" s="149" t="str">
        <f t="shared" si="10"/>
        <v>Marilia</v>
      </c>
      <c r="G34" s="149"/>
      <c r="H34" s="150" t="s">
        <v>144</v>
      </c>
      <c r="I34" s="151"/>
      <c r="J34" s="71" t="s">
        <v>157</v>
      </c>
      <c r="K34" s="72">
        <v>775</v>
      </c>
      <c r="L34" s="73">
        <f t="shared" si="6"/>
        <v>9544</v>
      </c>
      <c r="M34" s="74">
        <f t="shared" si="8"/>
        <v>27.678571428571427</v>
      </c>
      <c r="N34" s="75">
        <v>6.2</v>
      </c>
      <c r="O34" s="76">
        <f t="shared" si="0"/>
        <v>171.60714285714286</v>
      </c>
      <c r="P34" s="77"/>
      <c r="Q34" s="72"/>
      <c r="R34" s="148"/>
      <c r="S34" s="148"/>
      <c r="T34" s="78"/>
      <c r="U34" s="79"/>
      <c r="V34" s="142"/>
      <c r="W34" s="78"/>
      <c r="X34" s="80">
        <f t="shared" si="9"/>
        <v>171.60714285714286</v>
      </c>
    </row>
    <row r="35" spans="1:24" s="65" customFormat="1" ht="15" x14ac:dyDescent="0.25">
      <c r="A35"/>
      <c r="B35" s="68">
        <f t="shared" si="12"/>
        <v>0</v>
      </c>
      <c r="C35" s="69">
        <f t="shared" si="13"/>
        <v>45313</v>
      </c>
      <c r="D35" s="70">
        <f t="shared" si="2"/>
        <v>1</v>
      </c>
      <c r="E35" s="69" t="str">
        <f t="shared" si="5"/>
        <v>Segunda</v>
      </c>
      <c r="F35" s="149" t="str">
        <f t="shared" si="10"/>
        <v xml:space="preserve"> </v>
      </c>
      <c r="G35" s="149"/>
      <c r="H35" s="152"/>
      <c r="I35" s="152"/>
      <c r="J35" s="71"/>
      <c r="K35" s="72"/>
      <c r="L35" s="73" t="str">
        <f t="shared" si="6"/>
        <v xml:space="preserve"> </v>
      </c>
      <c r="M35" s="74" t="str">
        <f t="shared" si="8"/>
        <v xml:space="preserve"> </v>
      </c>
      <c r="N35" s="75"/>
      <c r="O35" s="76" t="str">
        <f t="shared" si="0"/>
        <v xml:space="preserve"> </v>
      </c>
      <c r="P35" s="77"/>
      <c r="Q35" s="72"/>
      <c r="R35" s="148"/>
      <c r="S35" s="148"/>
      <c r="T35" s="78"/>
      <c r="U35" s="79"/>
      <c r="V35" s="142"/>
      <c r="W35" s="78"/>
      <c r="X35" s="80" t="str">
        <f t="shared" si="9"/>
        <v xml:space="preserve"> </v>
      </c>
    </row>
    <row r="36" spans="1:24" s="65" customFormat="1" ht="15" x14ac:dyDescent="0.25">
      <c r="A36"/>
      <c r="B36" s="68">
        <f t="shared" si="12"/>
        <v>0</v>
      </c>
      <c r="C36" s="69">
        <f t="shared" si="13"/>
        <v>45313</v>
      </c>
      <c r="D36" s="70">
        <f t="shared" si="2"/>
        <v>1</v>
      </c>
      <c r="E36" s="69" t="str">
        <f t="shared" si="5"/>
        <v>Segunda</v>
      </c>
      <c r="F36" s="149" t="str">
        <f t="shared" si="10"/>
        <v xml:space="preserve"> </v>
      </c>
      <c r="G36" s="149"/>
      <c r="H36" s="152"/>
      <c r="I36" s="152"/>
      <c r="J36" s="71"/>
      <c r="K36" s="72"/>
      <c r="L36" s="73" t="str">
        <f t="shared" si="6"/>
        <v xml:space="preserve"> </v>
      </c>
      <c r="M36" s="74" t="str">
        <f t="shared" si="8"/>
        <v xml:space="preserve"> </v>
      </c>
      <c r="N36" s="75"/>
      <c r="O36" s="76" t="str">
        <f t="shared" si="0"/>
        <v xml:space="preserve"> </v>
      </c>
      <c r="P36" s="77"/>
      <c r="Q36" s="72"/>
      <c r="R36" s="148"/>
      <c r="S36" s="148"/>
      <c r="T36" s="78"/>
      <c r="U36" s="79"/>
      <c r="V36" s="142"/>
      <c r="W36" s="78"/>
      <c r="X36" s="80" t="str">
        <f t="shared" si="9"/>
        <v xml:space="preserve"> </v>
      </c>
    </row>
    <row r="37" spans="1:24" s="65" customFormat="1" ht="15" x14ac:dyDescent="0.25">
      <c r="A37"/>
      <c r="B37" s="68">
        <f t="shared" si="12"/>
        <v>0</v>
      </c>
      <c r="C37" s="69">
        <f t="shared" si="13"/>
        <v>45313</v>
      </c>
      <c r="D37" s="70">
        <f t="shared" ref="D37:D56" si="14">IF(C37="","",WEEKDAY(C37,2))</f>
        <v>1</v>
      </c>
      <c r="E37" s="69" t="str">
        <f t="shared" ref="E37:E56" si="15">IF(D37=1,"Segunda",IF(D37=2,"Terça",IF(D37=3,"Quarta",IF(D37=4,"Quinta",IF(D37=5,"Sexta",IF(D37=6,"Sábado",IF(D37=7,"Domingo"," ")))))))</f>
        <v>Segunda</v>
      </c>
      <c r="F37" s="149" t="str">
        <f t="shared" si="10"/>
        <v xml:space="preserve"> </v>
      </c>
      <c r="G37" s="149"/>
      <c r="H37" s="152"/>
      <c r="I37" s="152"/>
      <c r="J37" s="71"/>
      <c r="K37" s="72"/>
      <c r="L37" s="73" t="str">
        <f t="shared" si="6"/>
        <v xml:space="preserve"> </v>
      </c>
      <c r="M37" s="74" t="str">
        <f t="shared" si="8"/>
        <v xml:space="preserve"> </v>
      </c>
      <c r="N37" s="75"/>
      <c r="O37" s="76" t="str">
        <f t="shared" ref="O37:O56" si="16">IF(B37&gt;0,N37*M37," ")</f>
        <v xml:space="preserve"> </v>
      </c>
      <c r="P37" s="77"/>
      <c r="Q37" s="72"/>
      <c r="R37" s="148"/>
      <c r="S37" s="148"/>
      <c r="T37" s="78"/>
      <c r="U37" s="79"/>
      <c r="V37" s="142"/>
      <c r="W37" s="78"/>
      <c r="X37" s="80" t="str">
        <f t="shared" ref="X37:X55" si="17">IF(B37&gt;0,T37+O37+U37+W37+P37," ")</f>
        <v xml:space="preserve"> </v>
      </c>
    </row>
    <row r="38" spans="1:24" s="65" customFormat="1" ht="15" x14ac:dyDescent="0.25">
      <c r="A38"/>
      <c r="B38" s="68">
        <f t="shared" si="12"/>
        <v>0</v>
      </c>
      <c r="C38" s="69">
        <f t="shared" si="13"/>
        <v>45313</v>
      </c>
      <c r="D38" s="70">
        <f t="shared" si="14"/>
        <v>1</v>
      </c>
      <c r="E38" s="69" t="str">
        <f t="shared" si="15"/>
        <v>Segunda</v>
      </c>
      <c r="F38" s="149" t="str">
        <f t="shared" ref="F38:F54" si="18">IF(B38&gt;0,H37," ")</f>
        <v xml:space="preserve"> </v>
      </c>
      <c r="G38" s="149"/>
      <c r="H38" s="152"/>
      <c r="I38" s="152"/>
      <c r="J38" s="71"/>
      <c r="K38" s="72"/>
      <c r="L38" s="73" t="str">
        <f t="shared" si="6"/>
        <v xml:space="preserve"> </v>
      </c>
      <c r="M38" s="74" t="str">
        <f t="shared" si="8"/>
        <v xml:space="preserve"> </v>
      </c>
      <c r="N38" s="75"/>
      <c r="O38" s="76" t="str">
        <f t="shared" si="16"/>
        <v xml:space="preserve"> </v>
      </c>
      <c r="P38" s="77"/>
      <c r="Q38" s="72"/>
      <c r="R38" s="148"/>
      <c r="S38" s="148"/>
      <c r="T38" s="78"/>
      <c r="U38" s="79"/>
      <c r="V38" s="142"/>
      <c r="W38" s="78"/>
      <c r="X38" s="80" t="str">
        <f t="shared" si="17"/>
        <v xml:space="preserve"> </v>
      </c>
    </row>
    <row r="39" spans="1:24" s="65" customFormat="1" ht="15" x14ac:dyDescent="0.25">
      <c r="A39"/>
      <c r="B39" s="68">
        <f t="shared" si="12"/>
        <v>0</v>
      </c>
      <c r="C39" s="69">
        <f t="shared" si="13"/>
        <v>45313</v>
      </c>
      <c r="D39" s="70">
        <f t="shared" si="14"/>
        <v>1</v>
      </c>
      <c r="E39" s="69" t="str">
        <f t="shared" si="15"/>
        <v>Segunda</v>
      </c>
      <c r="F39" s="149" t="str">
        <f t="shared" si="18"/>
        <v xml:space="preserve"> </v>
      </c>
      <c r="G39" s="149"/>
      <c r="H39" s="152"/>
      <c r="I39" s="152"/>
      <c r="J39" s="71"/>
      <c r="K39" s="72"/>
      <c r="L39" s="73" t="str">
        <f t="shared" si="6"/>
        <v xml:space="preserve"> </v>
      </c>
      <c r="M39" s="74" t="str">
        <f t="shared" si="8"/>
        <v xml:space="preserve"> </v>
      </c>
      <c r="N39" s="75"/>
      <c r="O39" s="76" t="str">
        <f t="shared" si="16"/>
        <v xml:space="preserve"> </v>
      </c>
      <c r="P39" s="77"/>
      <c r="Q39" s="72"/>
      <c r="R39" s="148"/>
      <c r="S39" s="148"/>
      <c r="T39" s="78"/>
      <c r="U39" s="79"/>
      <c r="V39" s="142"/>
      <c r="W39" s="78"/>
      <c r="X39" s="80" t="str">
        <f t="shared" si="17"/>
        <v xml:space="preserve"> </v>
      </c>
    </row>
    <row r="40" spans="1:24" s="65" customFormat="1" ht="15" x14ac:dyDescent="0.25">
      <c r="A40"/>
      <c r="B40" s="68">
        <f t="shared" si="12"/>
        <v>0</v>
      </c>
      <c r="C40" s="69">
        <f t="shared" si="13"/>
        <v>45313</v>
      </c>
      <c r="D40" s="70">
        <f t="shared" si="14"/>
        <v>1</v>
      </c>
      <c r="E40" s="69" t="str">
        <f t="shared" si="15"/>
        <v>Segunda</v>
      </c>
      <c r="F40" s="149" t="str">
        <f t="shared" si="18"/>
        <v xml:space="preserve"> </v>
      </c>
      <c r="G40" s="149"/>
      <c r="H40" s="152"/>
      <c r="I40" s="152"/>
      <c r="J40" s="71"/>
      <c r="K40" s="72"/>
      <c r="L40" s="73" t="str">
        <f t="shared" si="6"/>
        <v xml:space="preserve"> </v>
      </c>
      <c r="M40" s="74" t="str">
        <f t="shared" si="8"/>
        <v xml:space="preserve"> </v>
      </c>
      <c r="N40" s="75"/>
      <c r="O40" s="76" t="str">
        <f t="shared" ref="O40:O46" si="19">IF(B40&gt;0,N40*M40," ")</f>
        <v xml:space="preserve"> </v>
      </c>
      <c r="P40" s="77"/>
      <c r="Q40" s="72"/>
      <c r="R40" s="148"/>
      <c r="S40" s="148"/>
      <c r="T40" s="78"/>
      <c r="U40" s="79"/>
      <c r="V40" s="142"/>
      <c r="W40" s="78"/>
      <c r="X40" s="80" t="str">
        <f t="shared" si="17"/>
        <v xml:space="preserve"> </v>
      </c>
    </row>
    <row r="41" spans="1:24" s="65" customFormat="1" ht="15" x14ac:dyDescent="0.25">
      <c r="A41"/>
      <c r="B41" s="68">
        <f t="shared" si="11"/>
        <v>0</v>
      </c>
      <c r="C41" s="69">
        <f t="shared" si="4"/>
        <v>45313</v>
      </c>
      <c r="D41" s="70">
        <f t="shared" si="14"/>
        <v>1</v>
      </c>
      <c r="E41" s="69" t="str">
        <f t="shared" si="15"/>
        <v>Segunda</v>
      </c>
      <c r="F41" s="149" t="str">
        <f t="shared" si="18"/>
        <v xml:space="preserve"> </v>
      </c>
      <c r="G41" s="149"/>
      <c r="H41" s="152"/>
      <c r="I41" s="152"/>
      <c r="J41" s="71"/>
      <c r="K41" s="72"/>
      <c r="L41" s="73" t="str">
        <f t="shared" si="6"/>
        <v xml:space="preserve"> </v>
      </c>
      <c r="M41" s="74" t="str">
        <f t="shared" si="8"/>
        <v xml:space="preserve"> </v>
      </c>
      <c r="N41" s="75"/>
      <c r="O41" s="76" t="str">
        <f t="shared" si="19"/>
        <v xml:space="preserve"> </v>
      </c>
      <c r="P41" s="77"/>
      <c r="Q41" s="72"/>
      <c r="R41" s="148"/>
      <c r="S41" s="148"/>
      <c r="T41" s="78"/>
      <c r="U41" s="79"/>
      <c r="V41" s="142"/>
      <c r="W41" s="78"/>
      <c r="X41" s="80" t="str">
        <f t="shared" si="17"/>
        <v xml:space="preserve"> </v>
      </c>
    </row>
    <row r="42" spans="1:24" s="65" customFormat="1" ht="15" x14ac:dyDescent="0.25">
      <c r="A42"/>
      <c r="B42" s="68">
        <f t="shared" si="11"/>
        <v>0</v>
      </c>
      <c r="C42" s="69">
        <f t="shared" si="4"/>
        <v>45313</v>
      </c>
      <c r="D42" s="70">
        <f t="shared" si="14"/>
        <v>1</v>
      </c>
      <c r="E42" s="69" t="str">
        <f t="shared" si="15"/>
        <v>Segunda</v>
      </c>
      <c r="F42" s="149" t="str">
        <f t="shared" si="18"/>
        <v xml:space="preserve"> </v>
      </c>
      <c r="G42" s="149"/>
      <c r="H42" s="152"/>
      <c r="I42" s="152"/>
      <c r="J42" s="71"/>
      <c r="K42" s="72"/>
      <c r="L42" s="73" t="str">
        <f t="shared" si="6"/>
        <v xml:space="preserve"> </v>
      </c>
      <c r="M42" s="74" t="str">
        <f t="shared" si="8"/>
        <v xml:space="preserve"> </v>
      </c>
      <c r="N42" s="75"/>
      <c r="O42" s="76" t="str">
        <f t="shared" si="19"/>
        <v xml:space="preserve"> </v>
      </c>
      <c r="P42" s="77"/>
      <c r="Q42" s="72"/>
      <c r="R42" s="148"/>
      <c r="S42" s="148"/>
      <c r="T42" s="78"/>
      <c r="U42" s="79"/>
      <c r="V42" s="142"/>
      <c r="W42" s="78"/>
      <c r="X42" s="80" t="str">
        <f t="shared" si="17"/>
        <v xml:space="preserve"> </v>
      </c>
    </row>
    <row r="43" spans="1:24" s="65" customFormat="1" ht="15" x14ac:dyDescent="0.25">
      <c r="A43"/>
      <c r="B43" s="68">
        <f t="shared" si="11"/>
        <v>0</v>
      </c>
      <c r="C43" s="69">
        <f t="shared" si="4"/>
        <v>45313</v>
      </c>
      <c r="D43" s="70">
        <f t="shared" si="14"/>
        <v>1</v>
      </c>
      <c r="E43" s="69" t="str">
        <f t="shared" si="15"/>
        <v>Segunda</v>
      </c>
      <c r="F43" s="149" t="str">
        <f t="shared" si="18"/>
        <v xml:space="preserve"> </v>
      </c>
      <c r="G43" s="149"/>
      <c r="H43" s="152"/>
      <c r="I43" s="152"/>
      <c r="J43" s="71"/>
      <c r="K43" s="72"/>
      <c r="L43" s="73" t="str">
        <f t="shared" si="6"/>
        <v xml:space="preserve"> </v>
      </c>
      <c r="M43" s="74" t="str">
        <f t="shared" si="8"/>
        <v xml:space="preserve"> </v>
      </c>
      <c r="N43" s="75"/>
      <c r="O43" s="76" t="str">
        <f t="shared" si="19"/>
        <v xml:space="preserve"> </v>
      </c>
      <c r="P43" s="77"/>
      <c r="Q43" s="72"/>
      <c r="R43" s="148"/>
      <c r="S43" s="148"/>
      <c r="T43" s="78"/>
      <c r="U43" s="79"/>
      <c r="V43" s="142"/>
      <c r="W43" s="78"/>
      <c r="X43" s="80" t="str">
        <f t="shared" si="17"/>
        <v xml:space="preserve"> </v>
      </c>
    </row>
    <row r="44" spans="1:24" s="65" customFormat="1" ht="15" x14ac:dyDescent="0.25">
      <c r="A44"/>
      <c r="B44" s="68">
        <f t="shared" si="11"/>
        <v>0</v>
      </c>
      <c r="C44" s="69">
        <f t="shared" si="4"/>
        <v>45313</v>
      </c>
      <c r="D44" s="70">
        <f t="shared" si="14"/>
        <v>1</v>
      </c>
      <c r="E44" s="69" t="str">
        <f t="shared" si="15"/>
        <v>Segunda</v>
      </c>
      <c r="F44" s="149" t="str">
        <f t="shared" si="18"/>
        <v xml:space="preserve"> </v>
      </c>
      <c r="G44" s="149"/>
      <c r="H44" s="152"/>
      <c r="I44" s="152"/>
      <c r="J44" s="71"/>
      <c r="K44" s="72"/>
      <c r="L44" s="73" t="str">
        <f t="shared" si="6"/>
        <v xml:space="preserve"> </v>
      </c>
      <c r="M44" s="74" t="str">
        <f t="shared" si="8"/>
        <v xml:space="preserve"> </v>
      </c>
      <c r="N44" s="75"/>
      <c r="O44" s="76" t="str">
        <f t="shared" si="19"/>
        <v xml:space="preserve"> </v>
      </c>
      <c r="P44" s="77"/>
      <c r="Q44" s="72"/>
      <c r="R44" s="148"/>
      <c r="S44" s="148"/>
      <c r="T44" s="78"/>
      <c r="U44" s="79"/>
      <c r="V44" s="142"/>
      <c r="W44" s="78"/>
      <c r="X44" s="80" t="str">
        <f t="shared" si="17"/>
        <v xml:space="preserve"> </v>
      </c>
    </row>
    <row r="45" spans="1:24" s="65" customFormat="1" ht="15" x14ac:dyDescent="0.25">
      <c r="A45"/>
      <c r="B45" s="68">
        <f t="shared" si="11"/>
        <v>0</v>
      </c>
      <c r="C45" s="69">
        <f t="shared" si="4"/>
        <v>45313</v>
      </c>
      <c r="D45" s="70">
        <f t="shared" si="14"/>
        <v>1</v>
      </c>
      <c r="E45" s="69" t="str">
        <f t="shared" si="15"/>
        <v>Segunda</v>
      </c>
      <c r="F45" s="149" t="str">
        <f t="shared" si="18"/>
        <v xml:space="preserve"> </v>
      </c>
      <c r="G45" s="149"/>
      <c r="H45" s="152"/>
      <c r="I45" s="152"/>
      <c r="J45" s="71"/>
      <c r="K45" s="72"/>
      <c r="L45" s="73" t="str">
        <f t="shared" si="6"/>
        <v xml:space="preserve"> </v>
      </c>
      <c r="M45" s="74" t="str">
        <f t="shared" si="8"/>
        <v xml:space="preserve"> </v>
      </c>
      <c r="N45" s="75"/>
      <c r="O45" s="76" t="str">
        <f t="shared" si="19"/>
        <v xml:space="preserve"> </v>
      </c>
      <c r="P45" s="77"/>
      <c r="Q45" s="72"/>
      <c r="R45" s="148"/>
      <c r="S45" s="148"/>
      <c r="T45" s="78"/>
      <c r="U45" s="79"/>
      <c r="V45" s="142"/>
      <c r="W45" s="78"/>
      <c r="X45" s="80" t="str">
        <f t="shared" si="17"/>
        <v xml:space="preserve"> </v>
      </c>
    </row>
    <row r="46" spans="1:24" s="65" customFormat="1" ht="15" x14ac:dyDescent="0.25">
      <c r="A46"/>
      <c r="B46" s="68">
        <f t="shared" si="11"/>
        <v>0</v>
      </c>
      <c r="C46" s="69">
        <f t="shared" si="4"/>
        <v>45313</v>
      </c>
      <c r="D46" s="70">
        <f t="shared" si="14"/>
        <v>1</v>
      </c>
      <c r="E46" s="69" t="str">
        <f t="shared" si="15"/>
        <v>Segunda</v>
      </c>
      <c r="F46" s="149" t="str">
        <f t="shared" si="18"/>
        <v xml:space="preserve"> </v>
      </c>
      <c r="G46" s="149"/>
      <c r="H46" s="152"/>
      <c r="I46" s="152"/>
      <c r="J46" s="71"/>
      <c r="K46" s="72"/>
      <c r="L46" s="73" t="str">
        <f t="shared" si="6"/>
        <v xml:space="preserve"> </v>
      </c>
      <c r="M46" s="74" t="str">
        <f t="shared" si="8"/>
        <v xml:space="preserve"> </v>
      </c>
      <c r="N46" s="75"/>
      <c r="O46" s="76" t="str">
        <f t="shared" si="19"/>
        <v xml:space="preserve"> </v>
      </c>
      <c r="P46" s="77"/>
      <c r="Q46" s="72"/>
      <c r="R46" s="148"/>
      <c r="S46" s="148"/>
      <c r="T46" s="78"/>
      <c r="U46" s="79"/>
      <c r="V46" s="142"/>
      <c r="W46" s="78"/>
      <c r="X46" s="80" t="str">
        <f t="shared" si="17"/>
        <v xml:space="preserve"> </v>
      </c>
    </row>
    <row r="47" spans="1:24" s="65" customFormat="1" ht="15" x14ac:dyDescent="0.25">
      <c r="A47"/>
      <c r="B47" s="68">
        <f t="shared" si="11"/>
        <v>0</v>
      </c>
      <c r="C47" s="69">
        <f t="shared" si="4"/>
        <v>45313</v>
      </c>
      <c r="D47" s="70">
        <f t="shared" si="14"/>
        <v>1</v>
      </c>
      <c r="E47" s="69" t="str">
        <f t="shared" si="15"/>
        <v>Segunda</v>
      </c>
      <c r="F47" s="149" t="str">
        <f t="shared" si="18"/>
        <v xml:space="preserve"> </v>
      </c>
      <c r="G47" s="149"/>
      <c r="H47" s="152"/>
      <c r="I47" s="152"/>
      <c r="J47" s="71"/>
      <c r="K47" s="72"/>
      <c r="L47" s="73" t="str">
        <f t="shared" si="6"/>
        <v xml:space="preserve"> </v>
      </c>
      <c r="M47" s="74" t="str">
        <f t="shared" si="8"/>
        <v xml:space="preserve"> </v>
      </c>
      <c r="N47" s="75"/>
      <c r="O47" s="76" t="str">
        <f t="shared" si="16"/>
        <v xml:space="preserve"> </v>
      </c>
      <c r="P47" s="77"/>
      <c r="Q47" s="72"/>
      <c r="R47" s="148"/>
      <c r="S47" s="148"/>
      <c r="T47" s="78"/>
      <c r="U47" s="79"/>
      <c r="V47" s="142"/>
      <c r="W47" s="78"/>
      <c r="X47" s="80" t="str">
        <f t="shared" si="17"/>
        <v xml:space="preserve"> </v>
      </c>
    </row>
    <row r="48" spans="1:24" s="65" customFormat="1" ht="15" x14ac:dyDescent="0.25">
      <c r="A48"/>
      <c r="B48" s="68">
        <f t="shared" si="11"/>
        <v>0</v>
      </c>
      <c r="C48" s="69">
        <f t="shared" si="4"/>
        <v>45313</v>
      </c>
      <c r="D48" s="70">
        <f t="shared" si="14"/>
        <v>1</v>
      </c>
      <c r="E48" s="69" t="str">
        <f t="shared" si="15"/>
        <v>Segunda</v>
      </c>
      <c r="F48" s="149" t="str">
        <f t="shared" si="18"/>
        <v xml:space="preserve"> </v>
      </c>
      <c r="G48" s="149"/>
      <c r="H48" s="152"/>
      <c r="I48" s="152"/>
      <c r="J48" s="71"/>
      <c r="K48" s="72"/>
      <c r="L48" s="73" t="str">
        <f t="shared" si="6"/>
        <v xml:space="preserve"> </v>
      </c>
      <c r="M48" s="74" t="str">
        <f t="shared" si="8"/>
        <v xml:space="preserve"> </v>
      </c>
      <c r="N48" s="75"/>
      <c r="O48" s="76" t="str">
        <f t="shared" si="16"/>
        <v xml:space="preserve"> </v>
      </c>
      <c r="P48" s="77"/>
      <c r="Q48" s="72"/>
      <c r="R48" s="148"/>
      <c r="S48" s="148"/>
      <c r="T48" s="78"/>
      <c r="U48" s="79"/>
      <c r="V48" s="142"/>
      <c r="W48" s="78"/>
      <c r="X48" s="80" t="str">
        <f t="shared" si="17"/>
        <v xml:space="preserve"> </v>
      </c>
    </row>
    <row r="49" spans="1:24" s="65" customFormat="1" ht="15" x14ac:dyDescent="0.25">
      <c r="A49"/>
      <c r="B49" s="68">
        <f t="shared" si="11"/>
        <v>0</v>
      </c>
      <c r="C49" s="69">
        <f t="shared" si="4"/>
        <v>45313</v>
      </c>
      <c r="D49" s="70">
        <f t="shared" si="14"/>
        <v>1</v>
      </c>
      <c r="E49" s="69" t="str">
        <f t="shared" si="15"/>
        <v>Segunda</v>
      </c>
      <c r="F49" s="149" t="str">
        <f t="shared" si="18"/>
        <v xml:space="preserve"> </v>
      </c>
      <c r="G49" s="149"/>
      <c r="H49" s="152"/>
      <c r="I49" s="152"/>
      <c r="J49" s="71"/>
      <c r="K49" s="72"/>
      <c r="L49" s="73" t="str">
        <f t="shared" si="6"/>
        <v xml:space="preserve"> </v>
      </c>
      <c r="M49" s="74" t="str">
        <f t="shared" si="8"/>
        <v xml:space="preserve"> </v>
      </c>
      <c r="N49" s="75"/>
      <c r="O49" s="76" t="str">
        <f t="shared" si="16"/>
        <v xml:space="preserve"> </v>
      </c>
      <c r="P49" s="77"/>
      <c r="Q49" s="72"/>
      <c r="R49" s="148"/>
      <c r="S49" s="148"/>
      <c r="T49" s="78"/>
      <c r="U49" s="79"/>
      <c r="V49" s="142"/>
      <c r="W49" s="78"/>
      <c r="X49" s="80" t="str">
        <f t="shared" si="17"/>
        <v xml:space="preserve"> </v>
      </c>
    </row>
    <row r="50" spans="1:24" s="65" customFormat="1" ht="15" x14ac:dyDescent="0.25">
      <c r="A50"/>
      <c r="B50" s="68">
        <f t="shared" si="11"/>
        <v>0</v>
      </c>
      <c r="C50" s="69">
        <f t="shared" si="4"/>
        <v>45313</v>
      </c>
      <c r="D50" s="70">
        <f t="shared" si="14"/>
        <v>1</v>
      </c>
      <c r="E50" s="69" t="str">
        <f t="shared" si="15"/>
        <v>Segunda</v>
      </c>
      <c r="F50" s="149" t="str">
        <f t="shared" si="18"/>
        <v xml:space="preserve"> </v>
      </c>
      <c r="G50" s="149"/>
      <c r="H50" s="152"/>
      <c r="I50" s="152"/>
      <c r="J50" s="71"/>
      <c r="K50" s="72"/>
      <c r="L50" s="73" t="str">
        <f t="shared" si="6"/>
        <v xml:space="preserve"> </v>
      </c>
      <c r="M50" s="74" t="str">
        <f t="shared" si="8"/>
        <v xml:space="preserve"> </v>
      </c>
      <c r="N50" s="75"/>
      <c r="O50" s="76" t="str">
        <f t="shared" si="16"/>
        <v xml:space="preserve"> </v>
      </c>
      <c r="P50" s="77"/>
      <c r="Q50" s="72"/>
      <c r="R50" s="148"/>
      <c r="S50" s="148"/>
      <c r="T50" s="78"/>
      <c r="U50" s="79"/>
      <c r="V50" s="142"/>
      <c r="W50" s="78"/>
      <c r="X50" s="80" t="str">
        <f t="shared" si="17"/>
        <v xml:space="preserve"> </v>
      </c>
    </row>
    <row r="51" spans="1:24" s="65" customFormat="1" ht="15" x14ac:dyDescent="0.25">
      <c r="A51"/>
      <c r="B51" s="68">
        <f t="shared" si="11"/>
        <v>0</v>
      </c>
      <c r="C51" s="69">
        <f t="shared" si="4"/>
        <v>45313</v>
      </c>
      <c r="D51" s="70">
        <f t="shared" si="14"/>
        <v>1</v>
      </c>
      <c r="E51" s="69" t="str">
        <f t="shared" si="15"/>
        <v>Segunda</v>
      </c>
      <c r="F51" s="149" t="str">
        <f t="shared" si="18"/>
        <v xml:space="preserve"> </v>
      </c>
      <c r="G51" s="149"/>
      <c r="H51" s="152"/>
      <c r="I51" s="152"/>
      <c r="J51" s="71"/>
      <c r="K51" s="72"/>
      <c r="L51" s="73" t="str">
        <f t="shared" si="6"/>
        <v xml:space="preserve"> </v>
      </c>
      <c r="M51" s="74" t="str">
        <f t="shared" si="8"/>
        <v xml:space="preserve"> </v>
      </c>
      <c r="N51" s="75"/>
      <c r="O51" s="76" t="str">
        <f t="shared" si="16"/>
        <v xml:space="preserve"> </v>
      </c>
      <c r="P51" s="77"/>
      <c r="Q51" s="72"/>
      <c r="R51" s="148"/>
      <c r="S51" s="148"/>
      <c r="T51" s="78"/>
      <c r="U51" s="79"/>
      <c r="V51" s="142"/>
      <c r="W51" s="78"/>
      <c r="X51" s="80" t="str">
        <f t="shared" si="17"/>
        <v xml:space="preserve"> </v>
      </c>
    </row>
    <row r="52" spans="1:24" s="65" customFormat="1" ht="15" x14ac:dyDescent="0.25">
      <c r="A52"/>
      <c r="B52" s="68">
        <f t="shared" si="11"/>
        <v>0</v>
      </c>
      <c r="C52" s="69">
        <f t="shared" si="4"/>
        <v>45313</v>
      </c>
      <c r="D52" s="70">
        <f t="shared" si="14"/>
        <v>1</v>
      </c>
      <c r="E52" s="69" t="str">
        <f t="shared" si="15"/>
        <v>Segunda</v>
      </c>
      <c r="F52" s="149" t="str">
        <f t="shared" si="18"/>
        <v xml:space="preserve"> </v>
      </c>
      <c r="G52" s="149"/>
      <c r="H52" s="152"/>
      <c r="I52" s="152"/>
      <c r="J52" s="71"/>
      <c r="K52" s="72"/>
      <c r="L52" s="73" t="str">
        <f t="shared" si="6"/>
        <v xml:space="preserve"> </v>
      </c>
      <c r="M52" s="74" t="str">
        <f t="shared" si="8"/>
        <v xml:space="preserve"> </v>
      </c>
      <c r="N52" s="75"/>
      <c r="O52" s="76" t="str">
        <f t="shared" si="16"/>
        <v xml:space="preserve"> </v>
      </c>
      <c r="P52" s="77"/>
      <c r="Q52" s="72"/>
      <c r="R52" s="148"/>
      <c r="S52" s="148"/>
      <c r="T52" s="78"/>
      <c r="U52" s="79"/>
      <c r="V52" s="142"/>
      <c r="W52" s="78"/>
      <c r="X52" s="80" t="str">
        <f t="shared" si="17"/>
        <v xml:space="preserve"> </v>
      </c>
    </row>
    <row r="53" spans="1:24" s="65" customFormat="1" ht="15" x14ac:dyDescent="0.25">
      <c r="A53"/>
      <c r="B53" s="68">
        <f t="shared" si="11"/>
        <v>0</v>
      </c>
      <c r="C53" s="69">
        <f t="shared" si="4"/>
        <v>45313</v>
      </c>
      <c r="D53" s="70">
        <f t="shared" si="14"/>
        <v>1</v>
      </c>
      <c r="E53" s="69" t="str">
        <f t="shared" si="15"/>
        <v>Segunda</v>
      </c>
      <c r="F53" s="149" t="str">
        <f t="shared" si="18"/>
        <v xml:space="preserve"> </v>
      </c>
      <c r="G53" s="149"/>
      <c r="H53" s="152"/>
      <c r="I53" s="152"/>
      <c r="J53" s="71"/>
      <c r="K53" s="72"/>
      <c r="L53" s="73" t="str">
        <f t="shared" si="6"/>
        <v xml:space="preserve"> </v>
      </c>
      <c r="M53" s="74" t="str">
        <f t="shared" si="8"/>
        <v xml:space="preserve"> </v>
      </c>
      <c r="N53" s="75"/>
      <c r="O53" s="76" t="str">
        <f t="shared" si="16"/>
        <v xml:space="preserve"> </v>
      </c>
      <c r="P53" s="77"/>
      <c r="Q53" s="72"/>
      <c r="R53" s="148"/>
      <c r="S53" s="148"/>
      <c r="T53" s="78"/>
      <c r="U53" s="79"/>
      <c r="V53" s="142"/>
      <c r="W53" s="78"/>
      <c r="X53" s="80" t="str">
        <f t="shared" si="17"/>
        <v xml:space="preserve"> </v>
      </c>
    </row>
    <row r="54" spans="1:24" s="65" customFormat="1" ht="15" x14ac:dyDescent="0.25">
      <c r="A54"/>
      <c r="B54" s="68">
        <f t="shared" si="11"/>
        <v>0</v>
      </c>
      <c r="C54" s="69">
        <f t="shared" si="4"/>
        <v>45313</v>
      </c>
      <c r="D54" s="70">
        <f t="shared" si="14"/>
        <v>1</v>
      </c>
      <c r="E54" s="69" t="str">
        <f t="shared" si="15"/>
        <v>Segunda</v>
      </c>
      <c r="F54" s="149" t="str">
        <f t="shared" si="18"/>
        <v xml:space="preserve"> </v>
      </c>
      <c r="G54" s="149"/>
      <c r="H54" s="152"/>
      <c r="I54" s="152"/>
      <c r="J54" s="71"/>
      <c r="K54" s="72"/>
      <c r="L54" s="73" t="str">
        <f t="shared" si="6"/>
        <v xml:space="preserve"> </v>
      </c>
      <c r="M54" s="74" t="str">
        <f t="shared" si="8"/>
        <v xml:space="preserve"> </v>
      </c>
      <c r="N54" s="75"/>
      <c r="O54" s="76" t="str">
        <f t="shared" si="16"/>
        <v xml:space="preserve"> </v>
      </c>
      <c r="P54" s="77"/>
      <c r="Q54" s="72"/>
      <c r="R54" s="148"/>
      <c r="S54" s="148"/>
      <c r="T54" s="78"/>
      <c r="U54" s="79"/>
      <c r="V54" s="142"/>
      <c r="W54" s="78"/>
      <c r="X54" s="80" t="str">
        <f t="shared" si="17"/>
        <v xml:space="preserve"> </v>
      </c>
    </row>
    <row r="55" spans="1:24" s="65" customFormat="1" ht="15" x14ac:dyDescent="0.25">
      <c r="A55"/>
      <c r="B55" s="68">
        <f t="shared" si="11"/>
        <v>0</v>
      </c>
      <c r="C55" s="69">
        <f t="shared" si="4"/>
        <v>45313</v>
      </c>
      <c r="D55" s="70">
        <f t="shared" si="14"/>
        <v>1</v>
      </c>
      <c r="E55" s="69" t="str">
        <f t="shared" si="15"/>
        <v>Segunda</v>
      </c>
      <c r="F55" s="149" t="str">
        <f t="shared" ref="F55:F57" si="20">IF(B55&gt;0,H54," ")</f>
        <v xml:space="preserve"> </v>
      </c>
      <c r="G55" s="149"/>
      <c r="H55" s="152"/>
      <c r="I55" s="152"/>
      <c r="J55" s="71"/>
      <c r="K55" s="72"/>
      <c r="L55" s="73" t="str">
        <f t="shared" si="6"/>
        <v xml:space="preserve"> </v>
      </c>
      <c r="M55" s="74" t="str">
        <f t="shared" si="8"/>
        <v xml:space="preserve"> </v>
      </c>
      <c r="N55" s="75"/>
      <c r="O55" s="76" t="str">
        <f t="shared" si="16"/>
        <v xml:space="preserve"> </v>
      </c>
      <c r="P55" s="77"/>
      <c r="Q55" s="72"/>
      <c r="R55" s="148"/>
      <c r="S55" s="148"/>
      <c r="T55" s="78"/>
      <c r="U55" s="79"/>
      <c r="V55" s="142"/>
      <c r="W55" s="78"/>
      <c r="X55" s="80" t="str">
        <f t="shared" si="17"/>
        <v xml:space="preserve"> </v>
      </c>
    </row>
    <row r="56" spans="1:24" s="65" customFormat="1" ht="15" x14ac:dyDescent="0.25">
      <c r="A56"/>
      <c r="B56" s="68">
        <f t="shared" si="11"/>
        <v>0</v>
      </c>
      <c r="C56" s="69">
        <f t="shared" si="4"/>
        <v>45313</v>
      </c>
      <c r="D56" s="70">
        <f t="shared" si="14"/>
        <v>1</v>
      </c>
      <c r="E56" s="69" t="str">
        <f t="shared" si="15"/>
        <v>Segunda</v>
      </c>
      <c r="F56" s="149" t="str">
        <f t="shared" si="20"/>
        <v xml:space="preserve"> </v>
      </c>
      <c r="G56" s="149"/>
      <c r="H56" s="152"/>
      <c r="I56" s="152"/>
      <c r="J56" s="71"/>
      <c r="K56" s="72"/>
      <c r="L56" s="73" t="str">
        <f t="shared" si="6"/>
        <v xml:space="preserve"> </v>
      </c>
      <c r="M56" s="74" t="str">
        <f t="shared" si="8"/>
        <v xml:space="preserve"> </v>
      </c>
      <c r="N56" s="75"/>
      <c r="O56" s="76" t="str">
        <f t="shared" si="16"/>
        <v xml:space="preserve"> </v>
      </c>
      <c r="P56" s="77"/>
      <c r="Q56" s="72"/>
      <c r="R56" s="148"/>
      <c r="S56" s="148"/>
      <c r="T56" s="78"/>
      <c r="U56" s="79"/>
      <c r="V56" s="142"/>
      <c r="W56" s="78"/>
      <c r="X56" s="80" t="str">
        <f>IF(B56&gt;0,T56+O56+U56+W56+P56," ")</f>
        <v xml:space="preserve"> </v>
      </c>
    </row>
    <row r="57" spans="1:24" s="65" customFormat="1" ht="15" x14ac:dyDescent="0.25">
      <c r="A57"/>
      <c r="B57" s="68">
        <f t="shared" si="11"/>
        <v>0</v>
      </c>
      <c r="C57" s="69">
        <f t="shared" si="4"/>
        <v>45313</v>
      </c>
      <c r="D57" s="70">
        <f t="shared" si="2"/>
        <v>1</v>
      </c>
      <c r="E57" s="69" t="str">
        <f t="shared" si="5"/>
        <v>Segunda</v>
      </c>
      <c r="F57" s="149" t="str">
        <f t="shared" si="20"/>
        <v xml:space="preserve"> </v>
      </c>
      <c r="G57" s="149"/>
      <c r="H57" s="152"/>
      <c r="I57" s="152"/>
      <c r="J57" s="71"/>
      <c r="K57" s="72"/>
      <c r="L57" s="73" t="str">
        <f t="shared" si="6"/>
        <v xml:space="preserve"> </v>
      </c>
      <c r="M57" s="74" t="str">
        <f t="shared" si="8"/>
        <v xml:space="preserve"> </v>
      </c>
      <c r="N57" s="75"/>
      <c r="O57" s="76" t="str">
        <f t="shared" si="0"/>
        <v xml:space="preserve"> </v>
      </c>
      <c r="P57" s="77"/>
      <c r="Q57" s="72"/>
      <c r="R57" s="148"/>
      <c r="S57" s="148"/>
      <c r="T57" s="78"/>
      <c r="U57" s="79"/>
      <c r="V57" s="142"/>
      <c r="W57" s="78"/>
      <c r="X57" s="80" t="str">
        <f t="shared" si="9"/>
        <v xml:space="preserve"> </v>
      </c>
    </row>
    <row r="58" spans="1:24" s="65" customFormat="1" ht="15" x14ac:dyDescent="0.25">
      <c r="A58"/>
      <c r="B58" s="68">
        <f t="shared" si="11"/>
        <v>0</v>
      </c>
      <c r="C58" s="69">
        <f t="shared" si="4"/>
        <v>45313</v>
      </c>
      <c r="D58" s="70">
        <f t="shared" si="2"/>
        <v>1</v>
      </c>
      <c r="E58" s="69" t="str">
        <f t="shared" si="5"/>
        <v>Segunda</v>
      </c>
      <c r="F58" s="149" t="str">
        <f t="shared" ref="F58:F65" si="21">IF(B58&gt;0,H57," ")</f>
        <v xml:space="preserve"> </v>
      </c>
      <c r="G58" s="149"/>
      <c r="H58" s="152"/>
      <c r="I58" s="152"/>
      <c r="J58" s="71"/>
      <c r="K58" s="72"/>
      <c r="L58" s="73" t="str">
        <f t="shared" si="6"/>
        <v xml:space="preserve"> </v>
      </c>
      <c r="M58" s="74" t="str">
        <f t="shared" si="8"/>
        <v xml:space="preserve"> </v>
      </c>
      <c r="N58" s="75"/>
      <c r="O58" s="76" t="str">
        <f t="shared" si="0"/>
        <v xml:space="preserve"> </v>
      </c>
      <c r="P58" s="77"/>
      <c r="Q58" s="72"/>
      <c r="R58" s="148"/>
      <c r="S58" s="148"/>
      <c r="T58" s="78"/>
      <c r="U58" s="79"/>
      <c r="V58" s="142"/>
      <c r="W58" s="78"/>
      <c r="X58" s="80" t="str">
        <f t="shared" si="9"/>
        <v xml:space="preserve"> </v>
      </c>
    </row>
    <row r="59" spans="1:24" s="65" customFormat="1" ht="15" x14ac:dyDescent="0.25">
      <c r="A59"/>
      <c r="B59" s="68">
        <f t="shared" si="11"/>
        <v>0</v>
      </c>
      <c r="C59" s="69">
        <f t="shared" si="4"/>
        <v>45313</v>
      </c>
      <c r="D59" s="70">
        <f t="shared" si="2"/>
        <v>1</v>
      </c>
      <c r="E59" s="69" t="str">
        <f t="shared" si="5"/>
        <v>Segunda</v>
      </c>
      <c r="F59" s="149" t="str">
        <f t="shared" si="21"/>
        <v xml:space="preserve"> </v>
      </c>
      <c r="G59" s="149"/>
      <c r="H59" s="152"/>
      <c r="I59" s="152"/>
      <c r="J59" s="71"/>
      <c r="K59" s="72"/>
      <c r="L59" s="73" t="str">
        <f t="shared" si="6"/>
        <v xml:space="preserve"> </v>
      </c>
      <c r="M59" s="74" t="str">
        <f t="shared" si="8"/>
        <v xml:space="preserve"> </v>
      </c>
      <c r="N59" s="75"/>
      <c r="O59" s="76" t="str">
        <f t="shared" si="0"/>
        <v xml:space="preserve"> </v>
      </c>
      <c r="P59" s="77"/>
      <c r="Q59" s="72"/>
      <c r="R59" s="148"/>
      <c r="S59" s="148"/>
      <c r="T59" s="78"/>
      <c r="U59" s="79"/>
      <c r="V59" s="142"/>
      <c r="W59" s="78"/>
      <c r="X59" s="80" t="str">
        <f t="shared" si="9"/>
        <v xml:space="preserve"> </v>
      </c>
    </row>
    <row r="60" spans="1:24" s="65" customFormat="1" ht="15" x14ac:dyDescent="0.25">
      <c r="A60"/>
      <c r="B60" s="68">
        <f t="shared" si="11"/>
        <v>0</v>
      </c>
      <c r="C60" s="69">
        <f t="shared" si="4"/>
        <v>45313</v>
      </c>
      <c r="D60" s="70">
        <f t="shared" si="2"/>
        <v>1</v>
      </c>
      <c r="E60" s="69" t="str">
        <f t="shared" si="5"/>
        <v>Segunda</v>
      </c>
      <c r="F60" s="149" t="str">
        <f t="shared" si="21"/>
        <v xml:space="preserve"> </v>
      </c>
      <c r="G60" s="149"/>
      <c r="H60" s="152"/>
      <c r="I60" s="152"/>
      <c r="J60" s="71"/>
      <c r="K60" s="72"/>
      <c r="L60" s="73" t="str">
        <f t="shared" si="6"/>
        <v xml:space="preserve"> </v>
      </c>
      <c r="M60" s="74" t="str">
        <f t="shared" si="8"/>
        <v xml:space="preserve"> </v>
      </c>
      <c r="N60" s="75"/>
      <c r="O60" s="76" t="str">
        <f t="shared" si="0"/>
        <v xml:space="preserve"> </v>
      </c>
      <c r="P60" s="77"/>
      <c r="Q60" s="72"/>
      <c r="R60" s="148"/>
      <c r="S60" s="148"/>
      <c r="T60" s="78"/>
      <c r="U60" s="79"/>
      <c r="V60" s="142"/>
      <c r="W60" s="78"/>
      <c r="X60" s="80" t="str">
        <f t="shared" si="9"/>
        <v xml:space="preserve"> </v>
      </c>
    </row>
    <row r="61" spans="1:24" s="65" customFormat="1" ht="15" x14ac:dyDescent="0.25">
      <c r="A61"/>
      <c r="B61" s="68">
        <f t="shared" si="11"/>
        <v>0</v>
      </c>
      <c r="C61" s="69">
        <f t="shared" si="4"/>
        <v>45313</v>
      </c>
      <c r="D61" s="70">
        <f t="shared" si="2"/>
        <v>1</v>
      </c>
      <c r="E61" s="69" t="str">
        <f t="shared" si="5"/>
        <v>Segunda</v>
      </c>
      <c r="F61" s="149" t="str">
        <f t="shared" si="21"/>
        <v xml:space="preserve"> </v>
      </c>
      <c r="G61" s="149"/>
      <c r="H61" s="152"/>
      <c r="I61" s="152"/>
      <c r="J61" s="71"/>
      <c r="K61" s="72"/>
      <c r="L61" s="73" t="str">
        <f t="shared" si="6"/>
        <v xml:space="preserve"> </v>
      </c>
      <c r="M61" s="74" t="str">
        <f t="shared" si="8"/>
        <v xml:space="preserve"> </v>
      </c>
      <c r="N61" s="75"/>
      <c r="O61" s="76" t="str">
        <f t="shared" si="0"/>
        <v xml:space="preserve"> </v>
      </c>
      <c r="P61" s="77"/>
      <c r="Q61" s="72"/>
      <c r="R61" s="148"/>
      <c r="S61" s="148"/>
      <c r="T61" s="78"/>
      <c r="U61" s="79"/>
      <c r="V61" s="142"/>
      <c r="W61" s="78"/>
      <c r="X61" s="80" t="str">
        <f t="shared" si="9"/>
        <v xml:space="preserve"> </v>
      </c>
    </row>
    <row r="62" spans="1:24" s="65" customFormat="1" ht="15" x14ac:dyDescent="0.25">
      <c r="A62"/>
      <c r="B62" s="68">
        <f t="shared" si="11"/>
        <v>0</v>
      </c>
      <c r="C62" s="69">
        <f t="shared" si="4"/>
        <v>45313</v>
      </c>
      <c r="D62" s="70">
        <f t="shared" si="2"/>
        <v>1</v>
      </c>
      <c r="E62" s="69" t="str">
        <f t="shared" si="5"/>
        <v>Segunda</v>
      </c>
      <c r="F62" s="149" t="str">
        <f t="shared" si="21"/>
        <v xml:space="preserve"> </v>
      </c>
      <c r="G62" s="149"/>
      <c r="H62" s="152"/>
      <c r="I62" s="152"/>
      <c r="J62" s="71"/>
      <c r="K62" s="72"/>
      <c r="L62" s="73" t="str">
        <f t="shared" si="6"/>
        <v xml:space="preserve"> </v>
      </c>
      <c r="M62" s="74" t="str">
        <f t="shared" si="8"/>
        <v xml:space="preserve"> </v>
      </c>
      <c r="N62" s="75"/>
      <c r="O62" s="76" t="str">
        <f t="shared" si="0"/>
        <v xml:space="preserve"> </v>
      </c>
      <c r="P62" s="77"/>
      <c r="Q62" s="72"/>
      <c r="R62" s="148"/>
      <c r="S62" s="148"/>
      <c r="T62" s="78"/>
      <c r="U62" s="79"/>
      <c r="V62" s="142"/>
      <c r="W62" s="78"/>
      <c r="X62" s="80" t="str">
        <f t="shared" si="9"/>
        <v xml:space="preserve"> </v>
      </c>
    </row>
    <row r="63" spans="1:24" s="65" customFormat="1" ht="15" x14ac:dyDescent="0.25">
      <c r="A63"/>
      <c r="B63" s="68">
        <f t="shared" si="11"/>
        <v>0</v>
      </c>
      <c r="C63" s="69">
        <f t="shared" si="4"/>
        <v>45313</v>
      </c>
      <c r="D63" s="70">
        <f t="shared" si="2"/>
        <v>1</v>
      </c>
      <c r="E63" s="69" t="str">
        <f t="shared" si="5"/>
        <v>Segunda</v>
      </c>
      <c r="F63" s="149" t="str">
        <f t="shared" si="21"/>
        <v xml:space="preserve"> </v>
      </c>
      <c r="G63" s="149"/>
      <c r="H63" s="152"/>
      <c r="I63" s="152"/>
      <c r="J63" s="71"/>
      <c r="K63" s="72"/>
      <c r="L63" s="73" t="str">
        <f t="shared" si="6"/>
        <v xml:space="preserve"> </v>
      </c>
      <c r="M63" s="74" t="str">
        <f t="shared" si="8"/>
        <v xml:space="preserve"> </v>
      </c>
      <c r="N63" s="75"/>
      <c r="O63" s="76" t="str">
        <f t="shared" si="0"/>
        <v xml:space="preserve"> </v>
      </c>
      <c r="P63" s="77"/>
      <c r="Q63" s="72"/>
      <c r="R63" s="148"/>
      <c r="S63" s="148"/>
      <c r="T63" s="78"/>
      <c r="U63" s="79"/>
      <c r="V63" s="142"/>
      <c r="W63" s="78"/>
      <c r="X63" s="80" t="str">
        <f t="shared" si="9"/>
        <v xml:space="preserve"> </v>
      </c>
    </row>
    <row r="64" spans="1:24" s="65" customFormat="1" ht="15" x14ac:dyDescent="0.25">
      <c r="A64"/>
      <c r="B64" s="68">
        <f t="shared" si="11"/>
        <v>0</v>
      </c>
      <c r="C64" s="69">
        <f t="shared" si="4"/>
        <v>45313</v>
      </c>
      <c r="D64" s="70">
        <f t="shared" si="2"/>
        <v>1</v>
      </c>
      <c r="E64" s="69" t="str">
        <f t="shared" si="5"/>
        <v>Segunda</v>
      </c>
      <c r="F64" s="149" t="str">
        <f t="shared" si="21"/>
        <v xml:space="preserve"> </v>
      </c>
      <c r="G64" s="149"/>
      <c r="H64" s="152"/>
      <c r="I64" s="152"/>
      <c r="J64" s="71"/>
      <c r="K64" s="72"/>
      <c r="L64" s="73" t="str">
        <f t="shared" si="6"/>
        <v xml:space="preserve"> </v>
      </c>
      <c r="M64" s="74" t="str">
        <f t="shared" si="8"/>
        <v xml:space="preserve"> </v>
      </c>
      <c r="N64" s="75"/>
      <c r="O64" s="76" t="str">
        <f t="shared" si="0"/>
        <v xml:space="preserve"> </v>
      </c>
      <c r="P64" s="77"/>
      <c r="Q64" s="72"/>
      <c r="R64" s="148"/>
      <c r="S64" s="148"/>
      <c r="T64" s="78"/>
      <c r="U64" s="79"/>
      <c r="V64" s="142"/>
      <c r="W64" s="78"/>
      <c r="X64" s="80" t="str">
        <f t="shared" si="9"/>
        <v xml:space="preserve"> </v>
      </c>
    </row>
    <row r="65" spans="1:24" s="65" customFormat="1" ht="15" x14ac:dyDescent="0.25">
      <c r="A65"/>
      <c r="B65" s="68">
        <f t="shared" si="11"/>
        <v>0</v>
      </c>
      <c r="C65" s="69">
        <f t="shared" si="4"/>
        <v>45313</v>
      </c>
      <c r="D65" s="70">
        <f t="shared" si="2"/>
        <v>1</v>
      </c>
      <c r="E65" s="69" t="str">
        <f t="shared" si="5"/>
        <v>Segunda</v>
      </c>
      <c r="F65" s="149" t="str">
        <f t="shared" si="21"/>
        <v xml:space="preserve"> </v>
      </c>
      <c r="G65" s="149"/>
      <c r="H65" s="152"/>
      <c r="I65" s="152"/>
      <c r="J65" s="71"/>
      <c r="K65" s="72"/>
      <c r="L65" s="73" t="str">
        <f t="shared" si="6"/>
        <v xml:space="preserve"> </v>
      </c>
      <c r="M65" s="74" t="str">
        <f t="shared" si="8"/>
        <v xml:space="preserve"> </v>
      </c>
      <c r="N65" s="75"/>
      <c r="O65" s="76" t="str">
        <f t="shared" si="0"/>
        <v xml:space="preserve"> </v>
      </c>
      <c r="P65" s="77"/>
      <c r="Q65" s="72"/>
      <c r="R65" s="148"/>
      <c r="S65" s="148"/>
      <c r="T65" s="78"/>
      <c r="U65" s="79"/>
      <c r="V65" s="142"/>
      <c r="W65" s="78"/>
      <c r="X65" s="80" t="str">
        <f t="shared" si="9"/>
        <v xml:space="preserve"> </v>
      </c>
    </row>
    <row r="66" spans="1:24" s="65" customFormat="1" ht="15" x14ac:dyDescent="0.25">
      <c r="A66"/>
      <c r="B66" s="68">
        <f t="shared" si="11"/>
        <v>0</v>
      </c>
      <c r="C66" s="69">
        <f t="shared" si="4"/>
        <v>45313</v>
      </c>
      <c r="D66" s="70">
        <f t="shared" si="2"/>
        <v>1</v>
      </c>
      <c r="E66" s="69" t="str">
        <f t="shared" si="5"/>
        <v>Segunda</v>
      </c>
      <c r="F66" s="149" t="str">
        <f>IF(B66&gt;0,H65," ")</f>
        <v xml:space="preserve"> </v>
      </c>
      <c r="G66" s="149"/>
      <c r="H66" s="152"/>
      <c r="I66" s="152"/>
      <c r="J66" s="71"/>
      <c r="K66" s="72"/>
      <c r="L66" s="73" t="str">
        <f t="shared" si="6"/>
        <v xml:space="preserve"> </v>
      </c>
      <c r="M66" s="74" t="str">
        <f>IF(B66&gt;0,K66/$J$5," ")</f>
        <v xml:space="preserve"> </v>
      </c>
      <c r="N66" s="75"/>
      <c r="O66" s="76" t="str">
        <f t="shared" si="0"/>
        <v xml:space="preserve"> </v>
      </c>
      <c r="P66" s="77"/>
      <c r="Q66" s="72"/>
      <c r="R66" s="148"/>
      <c r="S66" s="148"/>
      <c r="T66" s="78"/>
      <c r="U66" s="79"/>
      <c r="V66" s="142"/>
      <c r="W66" s="78"/>
      <c r="X66" s="80" t="str">
        <f>IF(B66&gt;0,T66+O66+U66+W66+P66," ")</f>
        <v xml:space="preserve"> </v>
      </c>
    </row>
    <row r="67" spans="1:24" s="65" customFormat="1" ht="16.5" hidden="1" customHeight="1" thickBot="1" x14ac:dyDescent="0.3">
      <c r="A67"/>
      <c r="B67" s="81" t="s">
        <v>86</v>
      </c>
      <c r="C67" s="82">
        <f>C66</f>
        <v>45313</v>
      </c>
      <c r="D67" s="83">
        <f>IF(C67&gt;0,WEEKDAY(C67,2)," ")</f>
        <v>1</v>
      </c>
      <c r="E67" s="84" t="str">
        <f>IF(D67=1,"Segunda",IF(D67=2,"Terça",IF(D67=3,"Quarta",IF(D67=4,"Quinta",IF(D67=5,"Sexta",IF(D67=6,"Sábado",IF(D67=7,"Domingo"," ")))))))</f>
        <v>Segunda</v>
      </c>
      <c r="F67" s="85"/>
      <c r="G67" s="85"/>
      <c r="H67" s="85"/>
      <c r="I67" s="85"/>
      <c r="J67" s="86"/>
      <c r="K67" s="87">
        <f>SUM(K17:K66)</f>
        <v>9544</v>
      </c>
      <c r="L67" s="88"/>
      <c r="M67" s="89">
        <f>SUM(M17:M66)</f>
        <v>340.85714285714289</v>
      </c>
      <c r="N67" s="90"/>
      <c r="O67" s="91">
        <f>SUM(O17:O66)</f>
        <v>1725.2857142857142</v>
      </c>
      <c r="P67" s="92">
        <f>SUM(P17:P66)</f>
        <v>0</v>
      </c>
      <c r="Q67" s="93">
        <f>SUM(Q17:Q66)</f>
        <v>21</v>
      </c>
      <c r="R67" s="178"/>
      <c r="S67" s="178"/>
      <c r="T67" s="94">
        <f>SUM(T17:T66)</f>
        <v>8050</v>
      </c>
      <c r="U67" s="95">
        <f>SUM(U17:U66)</f>
        <v>5100</v>
      </c>
      <c r="V67" s="95">
        <f>SUM(V17:V66)</f>
        <v>0</v>
      </c>
      <c r="W67" s="94">
        <f>SUM(W17:W66)</f>
        <v>0</v>
      </c>
      <c r="X67" s="92">
        <f>SUM(X17:X66)</f>
        <v>14875.285714285716</v>
      </c>
    </row>
    <row r="68" spans="1:24" s="65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65" customFormat="1" ht="23.25" x14ac:dyDescent="0.25">
      <c r="A69"/>
      <c r="B69" s="175" t="s">
        <v>142</v>
      </c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7"/>
    </row>
    <row r="70" spans="1:24" s="65" customFormat="1" ht="15" x14ac:dyDescent="0.25">
      <c r="A70"/>
      <c r="B70" s="2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65" customFormat="1" ht="15" x14ac:dyDescent="0.25">
      <c r="A71"/>
      <c r="B71" s="2"/>
      <c r="C71"/>
      <c r="D71"/>
      <c r="E71"/>
      <c r="F71"/>
      <c r="G71"/>
      <c r="H71"/>
      <c r="I71"/>
      <c r="J71"/>
      <c r="K71"/>
      <c r="L71"/>
      <c r="M71"/>
      <c r="N71"/>
      <c r="O71" s="3"/>
      <c r="P71" s="3"/>
      <c r="Q71" s="3"/>
      <c r="R71" s="3"/>
      <c r="S71"/>
      <c r="T71" s="1"/>
      <c r="U71" s="1"/>
      <c r="V71" s="1"/>
      <c r="W71" s="1"/>
      <c r="X71" s="1"/>
    </row>
    <row r="72" spans="1:24" s="65" customFormat="1" ht="15" hidden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 s="3"/>
      <c r="P72" s="3"/>
      <c r="Q72" s="3"/>
      <c r="R72" s="3"/>
      <c r="S72"/>
      <c r="T72" s="1"/>
      <c r="U72" s="1"/>
      <c r="V72" s="1"/>
      <c r="W72" s="1"/>
      <c r="X72" s="1"/>
    </row>
    <row r="73" spans="1:24" s="65" customFormat="1" ht="15" hidden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 s="3"/>
      <c r="P73" s="3"/>
      <c r="Q73" s="3"/>
      <c r="R73" s="3"/>
      <c r="S73"/>
      <c r="T73" s="1"/>
      <c r="U73" s="1"/>
      <c r="V73" s="1"/>
      <c r="W73" s="1"/>
      <c r="X73" s="1"/>
    </row>
    <row r="74" spans="1:24" s="65" customFormat="1" ht="15" hidden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 s="3"/>
      <c r="P74" s="3"/>
      <c r="Q74" s="3"/>
      <c r="R74" s="3"/>
      <c r="S74"/>
      <c r="T74" s="1"/>
      <c r="U74" s="1"/>
      <c r="V74" s="1"/>
      <c r="W74" s="1"/>
      <c r="X74" s="1"/>
    </row>
    <row r="75" spans="1:24" s="65" customFormat="1" ht="15" hidden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 s="3"/>
      <c r="P75" s="3"/>
      <c r="Q75" s="1"/>
      <c r="R75" s="1"/>
      <c r="S75"/>
      <c r="T75" s="1"/>
      <c r="U75" s="1"/>
      <c r="V75" s="1"/>
      <c r="W75" s="1"/>
      <c r="X75" s="1"/>
    </row>
    <row r="76" spans="1:24" s="65" customFormat="1" ht="15" hidden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 s="3"/>
      <c r="P76" s="3"/>
      <c r="Q76" s="3"/>
      <c r="R76" s="3"/>
      <c r="S76"/>
      <c r="T76" s="1"/>
      <c r="U76" s="1"/>
      <c r="V76" s="1"/>
      <c r="W76" s="1"/>
      <c r="X76" s="3"/>
    </row>
    <row r="77" spans="1:24" s="65" customFormat="1" ht="15" hidden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 s="3"/>
      <c r="P77" s="3"/>
      <c r="Q77" s="3"/>
      <c r="R77" s="3"/>
      <c r="S77"/>
      <c r="T77" s="3"/>
      <c r="U77" s="3"/>
      <c r="V77" s="3"/>
      <c r="W77" s="3"/>
      <c r="X77"/>
    </row>
    <row r="78" spans="1:24" s="65" customFormat="1" ht="15" hidden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 s="1"/>
      <c r="P78" s="1"/>
      <c r="Q78" s="3"/>
      <c r="R78" s="3"/>
      <c r="S78"/>
      <c r="T78"/>
      <c r="U78"/>
      <c r="V78"/>
      <c r="W78"/>
      <c r="X78"/>
    </row>
    <row r="79" spans="1:24" s="65" customFormat="1" ht="15" hidden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 s="3"/>
      <c r="P79" s="3"/>
      <c r="Q79" s="3"/>
      <c r="R79" s="3"/>
      <c r="S79"/>
      <c r="T79"/>
      <c r="U79"/>
      <c r="V79"/>
      <c r="W79"/>
      <c r="X79"/>
    </row>
    <row r="80" spans="1:24" s="65" customFormat="1" ht="15" hidden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 s="3"/>
      <c r="P80" s="3"/>
      <c r="Q80"/>
      <c r="R80"/>
      <c r="S80"/>
      <c r="T80"/>
      <c r="U80"/>
      <c r="V80"/>
      <c r="W80"/>
      <c r="X80"/>
    </row>
    <row r="81" spans="1:24" s="65" customFormat="1" ht="15" hidden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65" customFormat="1" ht="15" hidden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 s="3"/>
      <c r="P82" s="3"/>
      <c r="Q82" s="3"/>
      <c r="R82" s="3"/>
      <c r="S82"/>
      <c r="T82"/>
      <c r="U82"/>
      <c r="V82"/>
      <c r="W82"/>
      <c r="X82"/>
    </row>
    <row r="83" spans="1:24" s="65" customFormat="1" ht="15" hidden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 s="4"/>
      <c r="P83" s="4"/>
      <c r="Q83" s="4"/>
      <c r="R83" s="4"/>
      <c r="S83"/>
      <c r="T83"/>
      <c r="U83"/>
      <c r="V83"/>
      <c r="W83"/>
      <c r="X83"/>
    </row>
    <row r="84" spans="1:24" s="65" customFormat="1" ht="1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65" customFormat="1" ht="1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65" customFormat="1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heetProtection algorithmName="SHA-512" hashValue="Ain4NzgdB9837KIAENhIkeDhlyFIbWMY2SarD7PnC/UXglTgKkMJRlXhhVoh8nTr6p1x9ZpzU7dJ8fWSohDmQQ==" saltValue="orXGgFwERm9EFdDrDBmg5A==" spinCount="100000" sheet="1" objects="1" scenarios="1"/>
  <mergeCells count="224">
    <mergeCell ref="F19:G19"/>
    <mergeCell ref="H7:I7"/>
    <mergeCell ref="E11:F11"/>
    <mergeCell ref="O12:P12"/>
    <mergeCell ref="O13:P13"/>
    <mergeCell ref="E13:K13"/>
    <mergeCell ref="E8:F8"/>
    <mergeCell ref="O5:P5"/>
    <mergeCell ref="B2:X2"/>
    <mergeCell ref="Q15:T15"/>
    <mergeCell ref="Q10:R10"/>
    <mergeCell ref="Q11:R11"/>
    <mergeCell ref="U4:X11"/>
    <mergeCell ref="U13:X13"/>
    <mergeCell ref="O6:P6"/>
    <mergeCell ref="O7:P7"/>
    <mergeCell ref="O8:P8"/>
    <mergeCell ref="O9:P9"/>
    <mergeCell ref="Q8:R8"/>
    <mergeCell ref="Q6:R6"/>
    <mergeCell ref="Q9:R9"/>
    <mergeCell ref="Q7:R7"/>
    <mergeCell ref="O10:P10"/>
    <mergeCell ref="O11:P11"/>
    <mergeCell ref="H4:I4"/>
    <mergeCell ref="H5:I5"/>
    <mergeCell ref="U15:W15"/>
    <mergeCell ref="B4:C4"/>
    <mergeCell ref="M4:N4"/>
    <mergeCell ref="Q4:R4"/>
    <mergeCell ref="B10:C10"/>
    <mergeCell ref="M5:N5"/>
    <mergeCell ref="H27:I27"/>
    <mergeCell ref="R19:S19"/>
    <mergeCell ref="R20:S20"/>
    <mergeCell ref="R21:S21"/>
    <mergeCell ref="R22:S22"/>
    <mergeCell ref="R23:S23"/>
    <mergeCell ref="F20:G20"/>
    <mergeCell ref="F21:G21"/>
    <mergeCell ref="F22:G22"/>
    <mergeCell ref="F23:G23"/>
    <mergeCell ref="F24:G24"/>
    <mergeCell ref="F25:G25"/>
    <mergeCell ref="R24:S24"/>
    <mergeCell ref="R25:S25"/>
    <mergeCell ref="R17:S17"/>
    <mergeCell ref="F17:G17"/>
    <mergeCell ref="H24:I24"/>
    <mergeCell ref="H25:I25"/>
    <mergeCell ref="H26:I26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28:I28"/>
    <mergeCell ref="H29:I29"/>
    <mergeCell ref="B1:X1"/>
    <mergeCell ref="H16:I16"/>
    <mergeCell ref="H17:I17"/>
    <mergeCell ref="H18:I18"/>
    <mergeCell ref="H19:I19"/>
    <mergeCell ref="H20:I20"/>
    <mergeCell ref="H21:I21"/>
    <mergeCell ref="H22:I22"/>
    <mergeCell ref="H23:I23"/>
    <mergeCell ref="B9:C9"/>
    <mergeCell ref="B8:C8"/>
    <mergeCell ref="B7:C7"/>
    <mergeCell ref="E7:F7"/>
    <mergeCell ref="J4:K4"/>
    <mergeCell ref="E5:F5"/>
    <mergeCell ref="E9:F9"/>
    <mergeCell ref="M7:N7"/>
    <mergeCell ref="M6:N6"/>
    <mergeCell ref="M10:N10"/>
    <mergeCell ref="M11:N11"/>
    <mergeCell ref="M12:N12"/>
    <mergeCell ref="M13:N13"/>
    <mergeCell ref="J11:K11"/>
    <mergeCell ref="J7:K7"/>
    <mergeCell ref="B69:X69"/>
    <mergeCell ref="F65:G65"/>
    <mergeCell ref="R66:S66"/>
    <mergeCell ref="F66:G66"/>
    <mergeCell ref="R67:S67"/>
    <mergeCell ref="H63:I63"/>
    <mergeCell ref="H64:I64"/>
    <mergeCell ref="H65:I65"/>
    <mergeCell ref="H66:I66"/>
    <mergeCell ref="R65:S65"/>
    <mergeCell ref="F64:G64"/>
    <mergeCell ref="R62:S62"/>
    <mergeCell ref="F62:G62"/>
    <mergeCell ref="R63:S63"/>
    <mergeCell ref="F63:G63"/>
    <mergeCell ref="R64:S64"/>
    <mergeCell ref="R40:S40"/>
    <mergeCell ref="R41:S41"/>
    <mergeCell ref="R42:S42"/>
    <mergeCell ref="R43:S43"/>
    <mergeCell ref="R44:S44"/>
    <mergeCell ref="R45:S45"/>
    <mergeCell ref="R46:S46"/>
    <mergeCell ref="R56:S5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F41:G41"/>
    <mergeCell ref="F42:G42"/>
    <mergeCell ref="F43:G43"/>
    <mergeCell ref="F44:G44"/>
    <mergeCell ref="F36:G36"/>
    <mergeCell ref="F37:G37"/>
    <mergeCell ref="F38:G38"/>
    <mergeCell ref="F39:G39"/>
    <mergeCell ref="R37:S37"/>
    <mergeCell ref="R38:S38"/>
    <mergeCell ref="R39:S39"/>
    <mergeCell ref="H37:I37"/>
    <mergeCell ref="H38:I38"/>
    <mergeCell ref="H39:I39"/>
    <mergeCell ref="H40:I40"/>
    <mergeCell ref="H41:I41"/>
    <mergeCell ref="H42:I42"/>
    <mergeCell ref="H43:I43"/>
    <mergeCell ref="H44:I44"/>
    <mergeCell ref="F40:G40"/>
    <mergeCell ref="R61:S61"/>
    <mergeCell ref="F59:G59"/>
    <mergeCell ref="R60:S60"/>
    <mergeCell ref="F60:G60"/>
    <mergeCell ref="F56:G56"/>
    <mergeCell ref="R57:S57"/>
    <mergeCell ref="F57:G57"/>
    <mergeCell ref="R58:S58"/>
    <mergeCell ref="F58:G58"/>
    <mergeCell ref="R59:S59"/>
    <mergeCell ref="F61:G61"/>
    <mergeCell ref="R30:S30"/>
    <mergeCell ref="F35:G35"/>
    <mergeCell ref="R36:S36"/>
    <mergeCell ref="F31:G31"/>
    <mergeCell ref="R32:S32"/>
    <mergeCell ref="F32:G32"/>
    <mergeCell ref="H36:I36"/>
    <mergeCell ref="F26:G26"/>
    <mergeCell ref="F27:G27"/>
    <mergeCell ref="F28:G28"/>
    <mergeCell ref="F29:G29"/>
    <mergeCell ref="R29:S29"/>
    <mergeCell ref="H30:I30"/>
    <mergeCell ref="H31:I31"/>
    <mergeCell ref="H32:I32"/>
    <mergeCell ref="F30:G30"/>
    <mergeCell ref="R31:S31"/>
    <mergeCell ref="R18:S18"/>
    <mergeCell ref="F16:G16"/>
    <mergeCell ref="R16:S16"/>
    <mergeCell ref="B15:J15"/>
    <mergeCell ref="K15:L15"/>
    <mergeCell ref="M15:O15"/>
    <mergeCell ref="F18:G18"/>
    <mergeCell ref="E4:F4"/>
    <mergeCell ref="B13:C13"/>
    <mergeCell ref="O4:P4"/>
    <mergeCell ref="B5:C5"/>
    <mergeCell ref="E10:F10"/>
    <mergeCell ref="H11:I11"/>
    <mergeCell ref="H9:I9"/>
    <mergeCell ref="J9:K9"/>
    <mergeCell ref="H6:I6"/>
    <mergeCell ref="B6:C6"/>
    <mergeCell ref="E6:F6"/>
    <mergeCell ref="H8:K8"/>
    <mergeCell ref="J6:K6"/>
    <mergeCell ref="H10:I10"/>
    <mergeCell ref="J10:K10"/>
    <mergeCell ref="M8:N8"/>
    <mergeCell ref="M9:N9"/>
    <mergeCell ref="J5:K5"/>
    <mergeCell ref="B11:C11"/>
    <mergeCell ref="R26:S26"/>
    <mergeCell ref="R27:S27"/>
    <mergeCell ref="R28:S28"/>
    <mergeCell ref="F55:G55"/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R33:S33"/>
    <mergeCell ref="F33:G33"/>
    <mergeCell ref="R34:S34"/>
    <mergeCell ref="F34:G34"/>
    <mergeCell ref="R35:S35"/>
    <mergeCell ref="H33:I33"/>
    <mergeCell ref="H34:I34"/>
    <mergeCell ref="H35:I35"/>
  </mergeCells>
  <conditionalFormatting sqref="J9 H9">
    <cfRule type="cellIs" dxfId="17" priority="54" stopIfTrue="1" operator="greaterThanOrEqual">
      <formula>0</formula>
    </cfRule>
    <cfRule type="cellIs" dxfId="16" priority="55" stopIfTrue="1" operator="lessThan">
      <formula>0</formula>
    </cfRule>
  </conditionalFormatting>
  <conditionalFormatting sqref="B18:B66">
    <cfRule type="cellIs" dxfId="15" priority="49" stopIfTrue="1" operator="equal">
      <formula>0</formula>
    </cfRule>
  </conditionalFormatting>
  <conditionalFormatting sqref="X17">
    <cfRule type="cellIs" dxfId="14" priority="28" stopIfTrue="1" operator="greaterThan">
      <formula>#REF!</formula>
    </cfRule>
  </conditionalFormatting>
  <conditionalFormatting sqref="X18:X66">
    <cfRule type="cellIs" dxfId="13" priority="27" stopIfTrue="1" operator="greaterThan">
      <formula>#REF!</formula>
    </cfRule>
  </conditionalFormatting>
  <conditionalFormatting sqref="C31">
    <cfRule type="expression" dxfId="12" priority="16" stopIfTrue="1">
      <formula>IF(B31=0,C31)</formula>
    </cfRule>
  </conditionalFormatting>
  <conditionalFormatting sqref="C32:C66">
    <cfRule type="expression" dxfId="11" priority="15" stopIfTrue="1">
      <formula>IF(B32=0,C32)</formula>
    </cfRule>
  </conditionalFormatting>
  <conditionalFormatting sqref="C18:C66">
    <cfRule type="expression" dxfId="10" priority="14" stopIfTrue="1">
      <formula>IF(B18=0,C18)</formula>
    </cfRule>
  </conditionalFormatting>
  <conditionalFormatting sqref="E18">
    <cfRule type="expression" dxfId="9" priority="9" stopIfTrue="1">
      <formula>IF(B18=0,C18)</formula>
    </cfRule>
  </conditionalFormatting>
  <conditionalFormatting sqref="E19:E66">
    <cfRule type="expression" dxfId="8" priority="8" stopIfTrue="1">
      <formula>IF(B19=0,C19)</formula>
    </cfRule>
  </conditionalFormatting>
  <conditionalFormatting sqref="R5">
    <cfRule type="cellIs" dxfId="7" priority="6" stopIfTrue="1" operator="equal">
      <formula>"Com Sobra"</formula>
    </cfRule>
    <cfRule type="cellIs" dxfId="6" priority="7" stopIfTrue="1" operator="equal">
      <formula>"Rever"</formula>
    </cfRule>
  </conditionalFormatting>
  <conditionalFormatting sqref="B9 E9">
    <cfRule type="cellIs" dxfId="5" priority="3" stopIfTrue="1" operator="greaterThan">
      <formula>$B$9</formula>
    </cfRule>
  </conditionalFormatting>
  <conditionalFormatting sqref="E11:F11">
    <cfRule type="cellIs" dxfId="4" priority="1" operator="lessThan">
      <formula>0</formula>
    </cfRule>
    <cfRule type="cellIs" dxfId="3" priority="2" operator="greaterThanOrEqual">
      <formula>0</formula>
    </cfRule>
  </conditionalFormatting>
  <pageMargins left="0.25" right="0.25" top="0.75" bottom="0.75" header="0.3" footer="0.3"/>
  <pageSetup paperSize="9" scale="5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8"/>
    <pageSetUpPr fitToPage="1"/>
  </sheetPr>
  <dimension ref="A1:G80"/>
  <sheetViews>
    <sheetView showGridLines="0" zoomScaleNormal="100" workbookViewId="0">
      <selection activeCell="A3" sqref="A3"/>
    </sheetView>
  </sheetViews>
  <sheetFormatPr defaultColWidth="9.140625" defaultRowHeight="15" x14ac:dyDescent="0.25"/>
  <cols>
    <col min="1" max="1" width="8.7109375" style="65" bestFit="1" customWidth="1"/>
    <col min="2" max="2" width="19.140625" style="65" customWidth="1"/>
    <col min="3" max="3" width="10.28515625" style="65" customWidth="1"/>
    <col min="4" max="4" width="36.5703125" style="65" bestFit="1" customWidth="1"/>
    <col min="5" max="5" width="49.28515625" style="65" customWidth="1"/>
    <col min="6" max="6" width="11" style="65" customWidth="1"/>
    <col min="7" max="7" width="75.5703125" style="65" customWidth="1"/>
    <col min="8" max="16384" width="9.140625" style="65"/>
  </cols>
  <sheetData>
    <row r="1" spans="1:7" ht="25.5" customHeight="1" x14ac:dyDescent="0.25">
      <c r="A1" s="232" t="s">
        <v>102</v>
      </c>
      <c r="B1" s="233"/>
      <c r="C1" s="233"/>
      <c r="D1" s="233"/>
      <c r="E1" s="233"/>
      <c r="F1" s="233"/>
      <c r="G1" s="234"/>
    </row>
    <row r="2" spans="1:7" ht="15.75" thickBot="1" x14ac:dyDescent="0.3">
      <c r="A2" s="130" t="s">
        <v>10</v>
      </c>
      <c r="B2" s="131" t="s">
        <v>98</v>
      </c>
      <c r="C2" s="131" t="s">
        <v>103</v>
      </c>
      <c r="D2" s="131" t="s">
        <v>99</v>
      </c>
      <c r="E2" s="131" t="s">
        <v>101</v>
      </c>
      <c r="F2" s="131" t="s">
        <v>4</v>
      </c>
      <c r="G2" s="132" t="s">
        <v>100</v>
      </c>
    </row>
    <row r="3" spans="1:7" x14ac:dyDescent="0.25">
      <c r="A3" s="119"/>
      <c r="B3" s="120"/>
      <c r="C3" s="121"/>
      <c r="D3" s="122"/>
      <c r="E3" s="122"/>
      <c r="F3" s="133"/>
      <c r="G3" s="123"/>
    </row>
    <row r="4" spans="1:7" x14ac:dyDescent="0.25">
      <c r="A4" s="124"/>
      <c r="B4" s="125"/>
      <c r="C4" s="126"/>
      <c r="D4" s="127"/>
      <c r="E4" s="127"/>
      <c r="F4" s="134"/>
      <c r="G4" s="128"/>
    </row>
    <row r="5" spans="1:7" x14ac:dyDescent="0.25">
      <c r="A5" s="124"/>
      <c r="B5" s="125"/>
      <c r="C5" s="126"/>
      <c r="D5" s="127"/>
      <c r="E5" s="127"/>
      <c r="F5" s="134"/>
      <c r="G5" s="128"/>
    </row>
    <row r="6" spans="1:7" x14ac:dyDescent="0.25">
      <c r="A6" s="124"/>
      <c r="B6" s="125"/>
      <c r="C6" s="126"/>
      <c r="D6" s="127"/>
      <c r="E6" s="127"/>
      <c r="F6" s="134"/>
      <c r="G6" s="128"/>
    </row>
    <row r="7" spans="1:7" x14ac:dyDescent="0.25">
      <c r="A7" s="124"/>
      <c r="B7" s="125"/>
      <c r="C7" s="126"/>
      <c r="D7" s="127"/>
      <c r="E7" s="127"/>
      <c r="F7" s="134"/>
      <c r="G7" s="128"/>
    </row>
    <row r="8" spans="1:7" x14ac:dyDescent="0.25">
      <c r="A8" s="124"/>
      <c r="B8" s="125"/>
      <c r="C8" s="126"/>
      <c r="D8" s="127"/>
      <c r="E8" s="127"/>
      <c r="F8" s="134"/>
      <c r="G8" s="128"/>
    </row>
    <row r="9" spans="1:7" x14ac:dyDescent="0.25">
      <c r="A9" s="124"/>
      <c r="B9" s="125"/>
      <c r="C9" s="126"/>
      <c r="D9" s="127"/>
      <c r="E9" s="127"/>
      <c r="F9" s="134"/>
      <c r="G9" s="128"/>
    </row>
    <row r="10" spans="1:7" x14ac:dyDescent="0.25">
      <c r="A10" s="124"/>
      <c r="B10" s="125"/>
      <c r="C10" s="126"/>
      <c r="D10" s="127"/>
      <c r="E10" s="127"/>
      <c r="F10" s="134"/>
      <c r="G10" s="128"/>
    </row>
    <row r="11" spans="1:7" x14ac:dyDescent="0.25">
      <c r="A11" s="124"/>
      <c r="B11" s="125"/>
      <c r="C11" s="126"/>
      <c r="D11" s="127"/>
      <c r="E11" s="127"/>
      <c r="F11" s="134"/>
      <c r="G11" s="128"/>
    </row>
    <row r="12" spans="1:7" x14ac:dyDescent="0.25">
      <c r="A12" s="124"/>
      <c r="B12" s="125"/>
      <c r="C12" s="126"/>
      <c r="D12" s="127"/>
      <c r="E12" s="127"/>
      <c r="F12" s="134"/>
      <c r="G12" s="128"/>
    </row>
    <row r="13" spans="1:7" x14ac:dyDescent="0.25">
      <c r="A13" s="124"/>
      <c r="B13" s="125"/>
      <c r="C13" s="126"/>
      <c r="D13" s="127"/>
      <c r="E13" s="127"/>
      <c r="F13" s="134"/>
      <c r="G13" s="128"/>
    </row>
    <row r="14" spans="1:7" x14ac:dyDescent="0.25">
      <c r="A14" s="124"/>
      <c r="B14" s="125"/>
      <c r="C14" s="126"/>
      <c r="D14" s="127"/>
      <c r="E14" s="127"/>
      <c r="F14" s="134"/>
      <c r="G14" s="128"/>
    </row>
    <row r="15" spans="1:7" x14ac:dyDescent="0.25">
      <c r="A15" s="124"/>
      <c r="B15" s="125"/>
      <c r="C15" s="126"/>
      <c r="D15" s="127"/>
      <c r="E15" s="127"/>
      <c r="F15" s="134"/>
      <c r="G15" s="128"/>
    </row>
    <row r="16" spans="1:7" x14ac:dyDescent="0.25">
      <c r="A16" s="124"/>
      <c r="B16" s="125"/>
      <c r="C16" s="126"/>
      <c r="D16" s="127"/>
      <c r="E16" s="127"/>
      <c r="F16" s="134"/>
      <c r="G16" s="128"/>
    </row>
    <row r="17" spans="1:7" x14ac:dyDescent="0.25">
      <c r="A17" s="124"/>
      <c r="B17" s="125"/>
      <c r="C17" s="126"/>
      <c r="D17" s="127"/>
      <c r="E17" s="127"/>
      <c r="F17" s="134"/>
      <c r="G17" s="128"/>
    </row>
    <row r="18" spans="1:7" x14ac:dyDescent="0.25">
      <c r="A18" s="124"/>
      <c r="B18" s="129"/>
      <c r="C18" s="126"/>
      <c r="D18" s="127"/>
      <c r="E18" s="127"/>
      <c r="F18" s="134"/>
      <c r="G18" s="128"/>
    </row>
    <row r="19" spans="1:7" x14ac:dyDescent="0.25">
      <c r="A19" s="124"/>
      <c r="B19" s="129"/>
      <c r="C19" s="126"/>
      <c r="D19" s="127"/>
      <c r="E19" s="127"/>
      <c r="F19" s="134"/>
      <c r="G19" s="128"/>
    </row>
    <row r="20" spans="1:7" x14ac:dyDescent="0.25">
      <c r="A20" s="124"/>
      <c r="B20" s="129"/>
      <c r="C20" s="126"/>
      <c r="D20" s="127"/>
      <c r="E20" s="127"/>
      <c r="F20" s="134"/>
      <c r="G20" s="128"/>
    </row>
    <row r="21" spans="1:7" x14ac:dyDescent="0.25">
      <c r="A21" s="124"/>
      <c r="B21" s="129"/>
      <c r="C21" s="126"/>
      <c r="D21" s="127"/>
      <c r="E21" s="127"/>
      <c r="F21" s="134"/>
      <c r="G21" s="128"/>
    </row>
    <row r="22" spans="1:7" x14ac:dyDescent="0.25">
      <c r="A22" s="124"/>
      <c r="B22" s="129"/>
      <c r="C22" s="126"/>
      <c r="D22" s="127"/>
      <c r="E22" s="127"/>
      <c r="F22" s="134"/>
      <c r="G22" s="128"/>
    </row>
    <row r="23" spans="1:7" x14ac:dyDescent="0.25">
      <c r="A23" s="124"/>
      <c r="B23" s="129"/>
      <c r="C23" s="126"/>
      <c r="D23" s="127"/>
      <c r="E23" s="127"/>
      <c r="F23" s="134"/>
      <c r="G23" s="128"/>
    </row>
    <row r="24" spans="1:7" x14ac:dyDescent="0.25">
      <c r="A24" s="124"/>
      <c r="B24" s="129"/>
      <c r="C24" s="126"/>
      <c r="D24" s="127"/>
      <c r="E24" s="127"/>
      <c r="F24" s="134"/>
      <c r="G24" s="128"/>
    </row>
    <row r="25" spans="1:7" x14ac:dyDescent="0.25">
      <c r="A25" s="124"/>
      <c r="B25" s="129"/>
      <c r="C25" s="126"/>
      <c r="D25" s="127"/>
      <c r="E25" s="127"/>
      <c r="F25" s="134"/>
      <c r="G25" s="128"/>
    </row>
    <row r="26" spans="1:7" x14ac:dyDescent="0.25">
      <c r="A26" s="124"/>
      <c r="B26" s="129"/>
      <c r="C26" s="126"/>
      <c r="D26" s="127"/>
      <c r="E26" s="127"/>
      <c r="F26" s="134"/>
      <c r="G26" s="128"/>
    </row>
    <row r="27" spans="1:7" x14ac:dyDescent="0.25">
      <c r="A27" s="124"/>
      <c r="B27" s="129"/>
      <c r="C27" s="126"/>
      <c r="D27" s="127"/>
      <c r="E27" s="127"/>
      <c r="F27" s="134"/>
      <c r="G27" s="128"/>
    </row>
    <row r="28" spans="1:7" x14ac:dyDescent="0.25">
      <c r="A28" s="124"/>
      <c r="B28" s="129"/>
      <c r="C28" s="126"/>
      <c r="D28" s="127"/>
      <c r="E28" s="127"/>
      <c r="F28" s="134"/>
      <c r="G28" s="128"/>
    </row>
    <row r="29" spans="1:7" x14ac:dyDescent="0.25">
      <c r="A29" s="124"/>
      <c r="B29" s="129"/>
      <c r="C29" s="126"/>
      <c r="D29" s="127"/>
      <c r="E29" s="127"/>
      <c r="F29" s="134"/>
      <c r="G29" s="128"/>
    </row>
    <row r="30" spans="1:7" x14ac:dyDescent="0.25">
      <c r="A30" s="124"/>
      <c r="B30" s="129"/>
      <c r="C30" s="126"/>
      <c r="D30" s="127"/>
      <c r="E30" s="127"/>
      <c r="F30" s="134"/>
      <c r="G30" s="128"/>
    </row>
    <row r="31" spans="1:7" x14ac:dyDescent="0.25">
      <c r="A31" s="124"/>
      <c r="B31" s="129"/>
      <c r="C31" s="126"/>
      <c r="D31" s="127"/>
      <c r="E31" s="127"/>
      <c r="F31" s="134"/>
      <c r="G31" s="128"/>
    </row>
    <row r="32" spans="1:7" x14ac:dyDescent="0.25">
      <c r="A32" s="124"/>
      <c r="B32" s="129"/>
      <c r="C32" s="126"/>
      <c r="D32" s="127"/>
      <c r="E32" s="127"/>
      <c r="F32" s="134"/>
      <c r="G32" s="128"/>
    </row>
    <row r="33" spans="1:7" x14ac:dyDescent="0.25">
      <c r="A33" s="124"/>
      <c r="B33" s="129"/>
      <c r="C33" s="126"/>
      <c r="D33" s="127"/>
      <c r="E33" s="127"/>
      <c r="F33" s="134"/>
      <c r="G33" s="128"/>
    </row>
    <row r="34" spans="1:7" x14ac:dyDescent="0.25">
      <c r="A34" s="124"/>
      <c r="B34" s="129"/>
      <c r="C34" s="126"/>
      <c r="D34" s="127"/>
      <c r="E34" s="127"/>
      <c r="F34" s="134"/>
      <c r="G34" s="128"/>
    </row>
    <row r="35" spans="1:7" x14ac:dyDescent="0.25">
      <c r="A35" s="124"/>
      <c r="B35" s="129"/>
      <c r="C35" s="126"/>
      <c r="D35" s="127"/>
      <c r="E35" s="127"/>
      <c r="F35" s="134"/>
      <c r="G35" s="128"/>
    </row>
    <row r="36" spans="1:7" x14ac:dyDescent="0.25">
      <c r="A36" s="124"/>
      <c r="B36" s="129"/>
      <c r="C36" s="126"/>
      <c r="D36" s="127"/>
      <c r="E36" s="127"/>
      <c r="F36" s="134"/>
      <c r="G36" s="128"/>
    </row>
    <row r="37" spans="1:7" x14ac:dyDescent="0.25">
      <c r="A37" s="124"/>
      <c r="B37" s="129"/>
      <c r="C37" s="126"/>
      <c r="D37" s="127"/>
      <c r="E37" s="127"/>
      <c r="F37" s="134"/>
      <c r="G37" s="128"/>
    </row>
    <row r="38" spans="1:7" x14ac:dyDescent="0.25">
      <c r="A38" s="124"/>
      <c r="B38" s="129"/>
      <c r="C38" s="126"/>
      <c r="D38" s="127"/>
      <c r="E38" s="127"/>
      <c r="F38" s="134"/>
      <c r="G38" s="128"/>
    </row>
    <row r="39" spans="1:7" x14ac:dyDescent="0.25">
      <c r="A39" s="124"/>
      <c r="B39" s="129"/>
      <c r="C39" s="126"/>
      <c r="D39" s="127"/>
      <c r="E39" s="127"/>
      <c r="F39" s="134"/>
      <c r="G39" s="128"/>
    </row>
    <row r="40" spans="1:7" x14ac:dyDescent="0.25">
      <c r="A40" s="124"/>
      <c r="B40" s="129"/>
      <c r="C40" s="126"/>
      <c r="D40" s="127"/>
      <c r="E40" s="127"/>
      <c r="F40" s="134"/>
      <c r="G40" s="128"/>
    </row>
    <row r="41" spans="1:7" x14ac:dyDescent="0.25">
      <c r="A41" s="124"/>
      <c r="B41" s="129"/>
      <c r="C41" s="126"/>
      <c r="D41" s="127"/>
      <c r="E41" s="127"/>
      <c r="F41" s="134"/>
      <c r="G41" s="128"/>
    </row>
    <row r="42" spans="1:7" x14ac:dyDescent="0.25">
      <c r="A42" s="124"/>
      <c r="B42" s="129"/>
      <c r="C42" s="126"/>
      <c r="D42" s="127"/>
      <c r="E42" s="127"/>
      <c r="F42" s="134"/>
      <c r="G42" s="128"/>
    </row>
    <row r="43" spans="1:7" x14ac:dyDescent="0.25">
      <c r="A43" s="124"/>
      <c r="B43" s="129"/>
      <c r="C43" s="126"/>
      <c r="D43" s="127"/>
      <c r="E43" s="127"/>
      <c r="F43" s="134"/>
      <c r="G43" s="128"/>
    </row>
    <row r="44" spans="1:7" x14ac:dyDescent="0.25">
      <c r="A44" s="124"/>
      <c r="B44" s="129"/>
      <c r="C44" s="126"/>
      <c r="D44" s="127"/>
      <c r="E44" s="127"/>
      <c r="F44" s="134"/>
      <c r="G44" s="128"/>
    </row>
    <row r="45" spans="1:7" x14ac:dyDescent="0.25">
      <c r="A45" s="124"/>
      <c r="B45" s="129"/>
      <c r="C45" s="126"/>
      <c r="D45" s="127"/>
      <c r="E45" s="127"/>
      <c r="F45" s="134"/>
      <c r="G45" s="128"/>
    </row>
    <row r="46" spans="1:7" x14ac:dyDescent="0.25">
      <c r="A46" s="124"/>
      <c r="B46" s="129"/>
      <c r="C46" s="126"/>
      <c r="D46" s="127"/>
      <c r="E46" s="127"/>
      <c r="F46" s="134"/>
      <c r="G46" s="128"/>
    </row>
    <row r="47" spans="1:7" x14ac:dyDescent="0.25">
      <c r="A47" s="124"/>
      <c r="B47" s="129"/>
      <c r="C47" s="126"/>
      <c r="D47" s="127"/>
      <c r="E47" s="127"/>
      <c r="F47" s="134"/>
      <c r="G47" s="128"/>
    </row>
    <row r="48" spans="1:7" x14ac:dyDescent="0.25">
      <c r="A48" s="124"/>
      <c r="B48" s="129"/>
      <c r="C48" s="126"/>
      <c r="D48" s="127"/>
      <c r="E48" s="127"/>
      <c r="F48" s="134"/>
      <c r="G48" s="128"/>
    </row>
    <row r="49" spans="1:7" x14ac:dyDescent="0.25">
      <c r="A49" s="124"/>
      <c r="B49" s="129"/>
      <c r="C49" s="126"/>
      <c r="D49" s="127"/>
      <c r="E49" s="127"/>
      <c r="F49" s="134"/>
      <c r="G49" s="128"/>
    </row>
    <row r="50" spans="1:7" x14ac:dyDescent="0.25">
      <c r="A50" s="124"/>
      <c r="B50" s="129"/>
      <c r="C50" s="126"/>
      <c r="D50" s="127"/>
      <c r="E50" s="127"/>
      <c r="F50" s="134"/>
      <c r="G50" s="128"/>
    </row>
    <row r="51" spans="1:7" x14ac:dyDescent="0.25">
      <c r="A51" s="124"/>
      <c r="B51" s="129"/>
      <c r="C51" s="126"/>
      <c r="D51" s="127"/>
      <c r="E51" s="127"/>
      <c r="F51" s="134"/>
      <c r="G51" s="128"/>
    </row>
    <row r="52" spans="1:7" x14ac:dyDescent="0.25">
      <c r="A52" s="124"/>
      <c r="B52" s="129"/>
      <c r="C52" s="126"/>
      <c r="D52" s="127"/>
      <c r="E52" s="127"/>
      <c r="F52" s="134"/>
      <c r="G52" s="128"/>
    </row>
    <row r="53" spans="1:7" x14ac:dyDescent="0.25">
      <c r="A53" s="124"/>
      <c r="B53" s="129"/>
      <c r="C53" s="126"/>
      <c r="D53" s="127"/>
      <c r="E53" s="127"/>
      <c r="F53" s="134"/>
      <c r="G53" s="128"/>
    </row>
    <row r="54" spans="1:7" x14ac:dyDescent="0.25">
      <c r="A54" s="124"/>
      <c r="B54" s="129"/>
      <c r="C54" s="126"/>
      <c r="D54" s="127"/>
      <c r="E54" s="127"/>
      <c r="F54" s="134"/>
      <c r="G54" s="128"/>
    </row>
    <row r="55" spans="1:7" x14ac:dyDescent="0.25">
      <c r="A55" s="124"/>
      <c r="B55" s="129"/>
      <c r="C55" s="126"/>
      <c r="D55" s="127"/>
      <c r="E55" s="127"/>
      <c r="F55" s="134"/>
      <c r="G55" s="128"/>
    </row>
    <row r="56" spans="1:7" x14ac:dyDescent="0.25">
      <c r="A56" s="124"/>
      <c r="B56" s="129"/>
      <c r="C56" s="126"/>
      <c r="D56" s="127"/>
      <c r="E56" s="127"/>
      <c r="F56" s="134"/>
      <c r="G56" s="128"/>
    </row>
    <row r="57" spans="1:7" x14ac:dyDescent="0.25">
      <c r="A57" s="124"/>
      <c r="B57" s="129"/>
      <c r="C57" s="126"/>
      <c r="D57" s="127"/>
      <c r="E57" s="127"/>
      <c r="F57" s="134"/>
      <c r="G57" s="128"/>
    </row>
    <row r="58" spans="1:7" x14ac:dyDescent="0.25">
      <c r="A58" s="124"/>
      <c r="B58" s="129"/>
      <c r="C58" s="126"/>
      <c r="D58" s="127"/>
      <c r="E58" s="127"/>
      <c r="F58" s="134"/>
      <c r="G58" s="128"/>
    </row>
    <row r="59" spans="1:7" x14ac:dyDescent="0.25">
      <c r="A59" s="124"/>
      <c r="B59" s="129"/>
      <c r="C59" s="126"/>
      <c r="D59" s="127"/>
      <c r="E59" s="127"/>
      <c r="F59" s="134"/>
      <c r="G59" s="128"/>
    </row>
    <row r="60" spans="1:7" x14ac:dyDescent="0.25">
      <c r="A60" s="124"/>
      <c r="B60" s="129"/>
      <c r="C60" s="126"/>
      <c r="D60" s="127"/>
      <c r="E60" s="127"/>
      <c r="F60" s="134"/>
      <c r="G60" s="128"/>
    </row>
    <row r="61" spans="1:7" x14ac:dyDescent="0.25">
      <c r="A61" s="124"/>
      <c r="B61" s="129"/>
      <c r="C61" s="126"/>
      <c r="D61" s="127"/>
      <c r="E61" s="127"/>
      <c r="F61" s="134"/>
      <c r="G61" s="128"/>
    </row>
    <row r="62" spans="1:7" x14ac:dyDescent="0.25">
      <c r="A62" s="124"/>
      <c r="B62" s="129"/>
      <c r="C62" s="126"/>
      <c r="D62" s="127"/>
      <c r="E62" s="127"/>
      <c r="F62" s="134"/>
      <c r="G62" s="128"/>
    </row>
    <row r="63" spans="1:7" x14ac:dyDescent="0.25">
      <c r="A63" s="124"/>
      <c r="B63" s="129"/>
      <c r="C63" s="126"/>
      <c r="D63" s="127"/>
      <c r="E63" s="127"/>
      <c r="F63" s="134"/>
      <c r="G63" s="128"/>
    </row>
    <row r="64" spans="1:7" x14ac:dyDescent="0.25">
      <c r="A64" s="124"/>
      <c r="B64" s="129"/>
      <c r="C64" s="126"/>
      <c r="D64" s="127"/>
      <c r="E64" s="127"/>
      <c r="F64" s="134"/>
      <c r="G64" s="128"/>
    </row>
    <row r="65" spans="1:7" x14ac:dyDescent="0.25">
      <c r="A65" s="124"/>
      <c r="B65" s="129"/>
      <c r="C65" s="126"/>
      <c r="D65" s="127"/>
      <c r="E65" s="127"/>
      <c r="F65" s="134"/>
      <c r="G65" s="128"/>
    </row>
    <row r="66" spans="1:7" x14ac:dyDescent="0.25">
      <c r="A66" s="124"/>
      <c r="B66" s="129"/>
      <c r="C66" s="126"/>
      <c r="D66" s="127"/>
      <c r="E66" s="127"/>
      <c r="F66" s="134"/>
      <c r="G66" s="128"/>
    </row>
    <row r="67" spans="1:7" x14ac:dyDescent="0.25">
      <c r="A67" s="124"/>
      <c r="B67" s="129"/>
      <c r="C67" s="126"/>
      <c r="D67" s="127"/>
      <c r="E67" s="127"/>
      <c r="F67" s="134"/>
      <c r="G67" s="128"/>
    </row>
    <row r="68" spans="1:7" x14ac:dyDescent="0.25">
      <c r="A68" s="124"/>
      <c r="B68" s="129"/>
      <c r="C68" s="126"/>
      <c r="D68" s="127"/>
      <c r="E68" s="127"/>
      <c r="F68" s="134"/>
      <c r="G68" s="128"/>
    </row>
    <row r="69" spans="1:7" x14ac:dyDescent="0.25">
      <c r="A69" s="124"/>
      <c r="B69" s="129"/>
      <c r="C69" s="126"/>
      <c r="D69" s="127"/>
      <c r="E69" s="127"/>
      <c r="F69" s="134"/>
      <c r="G69" s="128"/>
    </row>
    <row r="70" spans="1:7" x14ac:dyDescent="0.25">
      <c r="A70" s="124"/>
      <c r="B70" s="129"/>
      <c r="C70" s="126"/>
      <c r="D70" s="127"/>
      <c r="E70" s="127"/>
      <c r="F70" s="134"/>
      <c r="G70" s="128"/>
    </row>
    <row r="71" spans="1:7" x14ac:dyDescent="0.25">
      <c r="A71" s="124"/>
      <c r="B71" s="129"/>
      <c r="C71" s="126"/>
      <c r="D71" s="127"/>
      <c r="E71" s="127"/>
      <c r="F71" s="134"/>
      <c r="G71" s="128"/>
    </row>
    <row r="72" spans="1:7" x14ac:dyDescent="0.25">
      <c r="A72" s="124"/>
      <c r="B72" s="129"/>
      <c r="C72" s="126"/>
      <c r="D72" s="127"/>
      <c r="E72" s="127"/>
      <c r="F72" s="134"/>
      <c r="G72" s="128"/>
    </row>
    <row r="73" spans="1:7" x14ac:dyDescent="0.25">
      <c r="A73" s="124"/>
      <c r="B73" s="129"/>
      <c r="C73" s="126"/>
      <c r="D73" s="127"/>
      <c r="E73" s="127"/>
      <c r="F73" s="134"/>
      <c r="G73" s="128"/>
    </row>
    <row r="74" spans="1:7" x14ac:dyDescent="0.25">
      <c r="A74" s="124"/>
      <c r="B74" s="129"/>
      <c r="C74" s="126"/>
      <c r="D74" s="127"/>
      <c r="E74" s="127"/>
      <c r="F74" s="134"/>
      <c r="G74" s="128"/>
    </row>
    <row r="75" spans="1:7" x14ac:dyDescent="0.25">
      <c r="A75" s="124"/>
      <c r="B75" s="129"/>
      <c r="C75" s="126"/>
      <c r="D75" s="127"/>
      <c r="E75" s="127"/>
      <c r="F75" s="134"/>
      <c r="G75" s="128"/>
    </row>
    <row r="76" spans="1:7" x14ac:dyDescent="0.25">
      <c r="A76" s="124"/>
      <c r="B76" s="129"/>
      <c r="C76" s="126"/>
      <c r="D76" s="127"/>
      <c r="E76" s="127"/>
      <c r="F76" s="134"/>
      <c r="G76" s="128"/>
    </row>
    <row r="77" spans="1:7" x14ac:dyDescent="0.25">
      <c r="A77" s="124"/>
      <c r="B77" s="129"/>
      <c r="C77" s="126"/>
      <c r="D77" s="127"/>
      <c r="E77" s="127"/>
      <c r="F77" s="134"/>
      <c r="G77" s="128"/>
    </row>
    <row r="78" spans="1:7" x14ac:dyDescent="0.25">
      <c r="A78" s="124"/>
      <c r="B78" s="129"/>
      <c r="C78" s="126"/>
      <c r="D78" s="127"/>
      <c r="E78" s="127"/>
      <c r="F78" s="134"/>
      <c r="G78" s="128"/>
    </row>
    <row r="79" spans="1:7" x14ac:dyDescent="0.25">
      <c r="A79" s="124"/>
      <c r="B79" s="129"/>
      <c r="C79" s="126"/>
      <c r="D79" s="127"/>
      <c r="E79" s="127"/>
      <c r="F79" s="134"/>
      <c r="G79" s="128"/>
    </row>
    <row r="80" spans="1:7" ht="15.75" thickBot="1" x14ac:dyDescent="0.3">
      <c r="A80" s="135"/>
      <c r="B80" s="136"/>
      <c r="C80" s="137"/>
      <c r="D80" s="138"/>
      <c r="E80" s="138"/>
      <c r="F80" s="140">
        <f>SUM(F3:F79)</f>
        <v>0</v>
      </c>
      <c r="G80" s="139"/>
    </row>
  </sheetData>
  <sheetProtection algorithmName="SHA-512" hashValue="MHTsB+KUQd6XdrXgC1ZHGwAp3NZ1ojx3Z3iQtTOepYvWRjujhGv9KvNP28iptzgT8uwM/KknJ7weNM6I2j5aFw==" saltValue="M3H1eKJr7ZoeXFX5sBKhbQ==" spinCount="100000" sheet="1" objects="1" scenarios="1"/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47" orientation="portrait" horizontalDpi="0" verticalDpi="0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tabColor rgb="FFFF0000"/>
  </sheetPr>
  <dimension ref="A1:AG43"/>
  <sheetViews>
    <sheetView showGridLines="0" showRowColHeaders="0" topLeftCell="A15" workbookViewId="0">
      <selection activeCell="K35" sqref="K35"/>
    </sheetView>
  </sheetViews>
  <sheetFormatPr defaultColWidth="0" defaultRowHeight="12.75" zeroHeight="1" x14ac:dyDescent="0.2"/>
  <cols>
    <col min="1" max="23" width="3.7109375" style="6" customWidth="1"/>
    <col min="24" max="24" width="1.7109375" style="6" hidden="1" customWidth="1"/>
    <col min="25" max="25" width="3.7109375" style="6" hidden="1" customWidth="1"/>
    <col min="26" max="26" width="4.85546875" style="6" hidden="1" customWidth="1"/>
    <col min="27" max="27" width="9" style="6" hidden="1" customWidth="1"/>
    <col min="28" max="28" width="16.28515625" style="6" hidden="1" customWidth="1"/>
    <col min="29" max="29" width="12.7109375" style="6" hidden="1" customWidth="1"/>
    <col min="30" max="30" width="19.5703125" style="6" hidden="1" customWidth="1"/>
    <col min="31" max="31" width="12.7109375" style="6" hidden="1" customWidth="1"/>
    <col min="32" max="32" width="16" style="6" hidden="1" customWidth="1"/>
    <col min="33" max="33" width="12.7109375" style="6" hidden="1" customWidth="1"/>
    <col min="34" max="16384" width="3.7109375" style="6" hidden="1"/>
  </cols>
  <sheetData>
    <row r="1" spans="1:33" ht="13.5" thickBo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33" ht="20.25" thickBot="1" x14ac:dyDescent="0.3">
      <c r="A2" s="48" t="s">
        <v>81</v>
      </c>
      <c r="B2" s="47"/>
      <c r="C2" s="235">
        <f>$AA$2</f>
        <v>2023</v>
      </c>
      <c r="D2" s="236"/>
      <c r="E2" s="23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Z2" s="49" t="s">
        <v>81</v>
      </c>
      <c r="AA2" s="50">
        <v>2023</v>
      </c>
      <c r="AB2" s="49" t="s">
        <v>82</v>
      </c>
      <c r="AC2" s="51" t="b">
        <v>1</v>
      </c>
      <c r="AD2" s="49" t="s">
        <v>83</v>
      </c>
      <c r="AE2" s="51" t="b">
        <v>0</v>
      </c>
      <c r="AF2" s="49" t="s">
        <v>84</v>
      </c>
      <c r="AG2" s="51" t="b">
        <v>0</v>
      </c>
    </row>
    <row r="3" spans="1:3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33" ht="19.5" x14ac:dyDescent="0.25">
      <c r="A4" s="59" t="s">
        <v>85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 t="str">
        <f>TEXT(ano,"0000")</f>
        <v>2023</v>
      </c>
    </row>
    <row r="5" spans="1:33" ht="15.95" customHeight="1" x14ac:dyDescent="0.2">
      <c r="AA5" s="52"/>
      <c r="AB5" s="52"/>
    </row>
    <row r="6" spans="1:33" x14ac:dyDescent="0.2">
      <c r="A6" s="62">
        <f>DATE(ano,1,1)</f>
        <v>44927</v>
      </c>
      <c r="B6" s="63"/>
      <c r="C6" s="63"/>
      <c r="D6" s="63"/>
      <c r="E6" s="63"/>
      <c r="F6" s="63"/>
      <c r="G6" s="64"/>
      <c r="I6" s="62">
        <f>DATE(ano,2,1)</f>
        <v>44958</v>
      </c>
      <c r="J6" s="63"/>
      <c r="K6" s="63"/>
      <c r="L6" s="63"/>
      <c r="M6" s="63"/>
      <c r="N6" s="63"/>
      <c r="O6" s="64"/>
      <c r="Q6" s="62">
        <f>DATE(ano,3,1)</f>
        <v>44986</v>
      </c>
      <c r="R6" s="63"/>
      <c r="S6" s="63"/>
      <c r="T6" s="63"/>
      <c r="U6" s="63"/>
      <c r="V6" s="63"/>
      <c r="W6" s="64"/>
    </row>
    <row r="7" spans="1:33" x14ac:dyDescent="0.2">
      <c r="A7" s="53" t="s">
        <v>19</v>
      </c>
      <c r="B7" s="54" t="s">
        <v>16</v>
      </c>
      <c r="C7" s="54" t="s">
        <v>17</v>
      </c>
      <c r="D7" s="54" t="s">
        <v>18</v>
      </c>
      <c r="E7" s="54" t="s">
        <v>18</v>
      </c>
      <c r="F7" s="54" t="s">
        <v>16</v>
      </c>
      <c r="G7" s="55" t="s">
        <v>16</v>
      </c>
      <c r="I7" s="53" t="str">
        <f t="shared" ref="I7:O7" si="0">A7</f>
        <v>D</v>
      </c>
      <c r="J7" s="54" t="str">
        <f t="shared" si="0"/>
        <v>S</v>
      </c>
      <c r="K7" s="54" t="str">
        <f t="shared" si="0"/>
        <v>T</v>
      </c>
      <c r="L7" s="54" t="str">
        <f t="shared" si="0"/>
        <v>Q</v>
      </c>
      <c r="M7" s="54" t="str">
        <f t="shared" si="0"/>
        <v>Q</v>
      </c>
      <c r="N7" s="54" t="str">
        <f t="shared" si="0"/>
        <v>S</v>
      </c>
      <c r="O7" s="55" t="str">
        <f t="shared" si="0"/>
        <v>S</v>
      </c>
      <c r="Q7" s="53" t="str">
        <f t="shared" ref="Q7:W7" si="1">I7</f>
        <v>D</v>
      </c>
      <c r="R7" s="54" t="str">
        <f t="shared" si="1"/>
        <v>S</v>
      </c>
      <c r="S7" s="54" t="str">
        <f t="shared" si="1"/>
        <v>T</v>
      </c>
      <c r="T7" s="54" t="str">
        <f t="shared" si="1"/>
        <v>Q</v>
      </c>
      <c r="U7" s="54" t="str">
        <f t="shared" si="1"/>
        <v>Q</v>
      </c>
      <c r="V7" s="54" t="str">
        <f t="shared" si="1"/>
        <v>S</v>
      </c>
      <c r="W7" s="55" t="str">
        <f t="shared" si="1"/>
        <v>S</v>
      </c>
    </row>
    <row r="8" spans="1:33" x14ac:dyDescent="0.2">
      <c r="A8" s="58">
        <f>IF( WEEKDAY(_Jan1) = MOD(COLUMN(),8), _Jan1, 0 )</f>
        <v>44927</v>
      </c>
      <c r="B8" s="56">
        <f t="shared" ref="B8:G8" si="2">IF( A8&gt;0, A8+1, IF( WEEKDAY(_Jan1)=MOD(COLUMN(),8), _Jan1, 0) )</f>
        <v>44928</v>
      </c>
      <c r="C8" s="56">
        <f t="shared" si="2"/>
        <v>44929</v>
      </c>
      <c r="D8" s="56">
        <f t="shared" si="2"/>
        <v>44930</v>
      </c>
      <c r="E8" s="56">
        <f t="shared" si="2"/>
        <v>44931</v>
      </c>
      <c r="F8" s="56">
        <f t="shared" si="2"/>
        <v>44932</v>
      </c>
      <c r="G8" s="58">
        <f t="shared" si="2"/>
        <v>44933</v>
      </c>
      <c r="I8" s="58">
        <f>IF( WEEKDAY(_Fev1) = MOD(COLUMN(),8), _Fev1, 0 )</f>
        <v>0</v>
      </c>
      <c r="J8" s="56">
        <f t="shared" ref="J8:O8" si="3">IF( I8&gt;0, I8+1, IF( WEEKDAY(_Fev1)=MOD(COLUMN(),8), _Fev1, 0) )</f>
        <v>0</v>
      </c>
      <c r="K8" s="56">
        <f t="shared" si="3"/>
        <v>0</v>
      </c>
      <c r="L8" s="56">
        <f t="shared" si="3"/>
        <v>44958</v>
      </c>
      <c r="M8" s="56">
        <f t="shared" si="3"/>
        <v>44959</v>
      </c>
      <c r="N8" s="56">
        <f t="shared" si="3"/>
        <v>44960</v>
      </c>
      <c r="O8" s="58">
        <f t="shared" si="3"/>
        <v>44961</v>
      </c>
      <c r="Q8" s="58">
        <f>IF( WEEKDAY(_Mar1) = MOD(COLUMN(),8), _Mar1, 0 )</f>
        <v>0</v>
      </c>
      <c r="R8" s="56">
        <f t="shared" ref="R8:W8" si="4">IF( Q8&gt;0, Q8+1, IF( WEEKDAY(_Mar1)=MOD(COLUMN(),8), _Mar1, 0) )</f>
        <v>0</v>
      </c>
      <c r="S8" s="56">
        <f t="shared" si="4"/>
        <v>0</v>
      </c>
      <c r="T8" s="56">
        <f t="shared" si="4"/>
        <v>44986</v>
      </c>
      <c r="U8" s="56">
        <f t="shared" si="4"/>
        <v>44987</v>
      </c>
      <c r="V8" s="56">
        <f t="shared" si="4"/>
        <v>44988</v>
      </c>
      <c r="W8" s="58">
        <f t="shared" si="4"/>
        <v>44989</v>
      </c>
    </row>
    <row r="9" spans="1:33" x14ac:dyDescent="0.2">
      <c r="A9" s="58">
        <f>G8+1</f>
        <v>44934</v>
      </c>
      <c r="B9" s="56">
        <f t="shared" ref="B9:G11" si="5">A9+1</f>
        <v>44935</v>
      </c>
      <c r="C9" s="56">
        <f t="shared" si="5"/>
        <v>44936</v>
      </c>
      <c r="D9" s="56">
        <f t="shared" si="5"/>
        <v>44937</v>
      </c>
      <c r="E9" s="56">
        <f t="shared" si="5"/>
        <v>44938</v>
      </c>
      <c r="F9" s="56">
        <f t="shared" si="5"/>
        <v>44939</v>
      </c>
      <c r="G9" s="58">
        <f t="shared" si="5"/>
        <v>44940</v>
      </c>
      <c r="I9" s="58">
        <f>O8+1</f>
        <v>44962</v>
      </c>
      <c r="J9" s="56">
        <f t="shared" ref="J9:O11" si="6">I9+1</f>
        <v>44963</v>
      </c>
      <c r="K9" s="56">
        <f t="shared" si="6"/>
        <v>44964</v>
      </c>
      <c r="L9" s="56">
        <f t="shared" si="6"/>
        <v>44965</v>
      </c>
      <c r="M9" s="56">
        <f t="shared" si="6"/>
        <v>44966</v>
      </c>
      <c r="N9" s="56">
        <f t="shared" si="6"/>
        <v>44967</v>
      </c>
      <c r="O9" s="58">
        <f t="shared" si="6"/>
        <v>44968</v>
      </c>
      <c r="Q9" s="58">
        <f>W8+1</f>
        <v>44990</v>
      </c>
      <c r="R9" s="56">
        <f t="shared" ref="R9:W11" si="7">Q9+1</f>
        <v>44991</v>
      </c>
      <c r="S9" s="56">
        <f t="shared" si="7"/>
        <v>44992</v>
      </c>
      <c r="T9" s="56">
        <f t="shared" si="7"/>
        <v>44993</v>
      </c>
      <c r="U9" s="56">
        <f t="shared" si="7"/>
        <v>44994</v>
      </c>
      <c r="V9" s="56">
        <f t="shared" si="7"/>
        <v>44995</v>
      </c>
      <c r="W9" s="58">
        <f t="shared" si="7"/>
        <v>44996</v>
      </c>
    </row>
    <row r="10" spans="1:33" x14ac:dyDescent="0.2">
      <c r="A10" s="58">
        <f>G9+1</f>
        <v>44941</v>
      </c>
      <c r="B10" s="56">
        <f t="shared" si="5"/>
        <v>44942</v>
      </c>
      <c r="C10" s="56">
        <f t="shared" si="5"/>
        <v>44943</v>
      </c>
      <c r="D10" s="56">
        <f t="shared" si="5"/>
        <v>44944</v>
      </c>
      <c r="E10" s="56">
        <f t="shared" si="5"/>
        <v>44945</v>
      </c>
      <c r="F10" s="56">
        <f t="shared" si="5"/>
        <v>44946</v>
      </c>
      <c r="G10" s="58">
        <f t="shared" si="5"/>
        <v>44947</v>
      </c>
      <c r="I10" s="58">
        <f>O9+1</f>
        <v>44969</v>
      </c>
      <c r="J10" s="56">
        <f t="shared" si="6"/>
        <v>44970</v>
      </c>
      <c r="K10" s="56">
        <f t="shared" si="6"/>
        <v>44971</v>
      </c>
      <c r="L10" s="56">
        <f t="shared" si="6"/>
        <v>44972</v>
      </c>
      <c r="M10" s="56">
        <f t="shared" si="6"/>
        <v>44973</v>
      </c>
      <c r="N10" s="56">
        <f t="shared" si="6"/>
        <v>44974</v>
      </c>
      <c r="O10" s="58">
        <f t="shared" si="6"/>
        <v>44975</v>
      </c>
      <c r="Q10" s="58">
        <f>W9+1</f>
        <v>44997</v>
      </c>
      <c r="R10" s="56">
        <f t="shared" si="7"/>
        <v>44998</v>
      </c>
      <c r="S10" s="56">
        <f t="shared" si="7"/>
        <v>44999</v>
      </c>
      <c r="T10" s="56">
        <f t="shared" si="7"/>
        <v>45000</v>
      </c>
      <c r="U10" s="56">
        <f t="shared" si="7"/>
        <v>45001</v>
      </c>
      <c r="V10" s="56">
        <f t="shared" si="7"/>
        <v>45002</v>
      </c>
      <c r="W10" s="58">
        <f t="shared" si="7"/>
        <v>45003</v>
      </c>
    </row>
    <row r="11" spans="1:33" x14ac:dyDescent="0.2">
      <c r="A11" s="58">
        <f>G10+1</f>
        <v>44948</v>
      </c>
      <c r="B11" s="56">
        <f t="shared" si="5"/>
        <v>44949</v>
      </c>
      <c r="C11" s="56">
        <f t="shared" si="5"/>
        <v>44950</v>
      </c>
      <c r="D11" s="56">
        <f t="shared" si="5"/>
        <v>44951</v>
      </c>
      <c r="E11" s="56">
        <f t="shared" si="5"/>
        <v>44952</v>
      </c>
      <c r="F11" s="56">
        <f t="shared" si="5"/>
        <v>44953</v>
      </c>
      <c r="G11" s="58">
        <f t="shared" si="5"/>
        <v>44954</v>
      </c>
      <c r="I11" s="58">
        <f>O10+1</f>
        <v>44976</v>
      </c>
      <c r="J11" s="56">
        <f t="shared" si="6"/>
        <v>44977</v>
      </c>
      <c r="K11" s="56">
        <f t="shared" si="6"/>
        <v>44978</v>
      </c>
      <c r="L11" s="56">
        <f t="shared" si="6"/>
        <v>44979</v>
      </c>
      <c r="M11" s="56">
        <f t="shared" si="6"/>
        <v>44980</v>
      </c>
      <c r="N11" s="56">
        <f t="shared" si="6"/>
        <v>44981</v>
      </c>
      <c r="O11" s="58">
        <f t="shared" si="6"/>
        <v>44982</v>
      </c>
      <c r="Q11" s="58">
        <f>W10+1</f>
        <v>45004</v>
      </c>
      <c r="R11" s="56">
        <f t="shared" si="7"/>
        <v>45005</v>
      </c>
      <c r="S11" s="56">
        <f t="shared" si="7"/>
        <v>45006</v>
      </c>
      <c r="T11" s="56">
        <f t="shared" si="7"/>
        <v>45007</v>
      </c>
      <c r="U11" s="56">
        <f t="shared" si="7"/>
        <v>45008</v>
      </c>
      <c r="V11" s="56">
        <f t="shared" si="7"/>
        <v>45009</v>
      </c>
      <c r="W11" s="58">
        <f t="shared" si="7"/>
        <v>45010</v>
      </c>
      <c r="AB11" s="57"/>
    </row>
    <row r="12" spans="1:33" x14ac:dyDescent="0.2">
      <c r="A12" s="58">
        <f>IF( MONTH(G11+1) = MONTH(_Jan1), G11+1, 0 )</f>
        <v>44955</v>
      </c>
      <c r="B12" s="56">
        <f t="shared" ref="B12:G13" si="8">IF( A12=0, 0, IF( MONTH(A12+1) = MONTH(_Jan1), A12+1, 0 ) )</f>
        <v>44956</v>
      </c>
      <c r="C12" s="56">
        <f t="shared" si="8"/>
        <v>44957</v>
      </c>
      <c r="D12" s="56">
        <f t="shared" si="8"/>
        <v>0</v>
      </c>
      <c r="E12" s="56">
        <f t="shared" si="8"/>
        <v>0</v>
      </c>
      <c r="F12" s="56">
        <f t="shared" si="8"/>
        <v>0</v>
      </c>
      <c r="G12" s="58">
        <f t="shared" si="8"/>
        <v>0</v>
      </c>
      <c r="I12" s="58">
        <f>IF( MONTH(O11+1) = MONTH(_Fev1), O11+1, 0 )</f>
        <v>44983</v>
      </c>
      <c r="J12" s="56">
        <f t="shared" ref="J12:O13" si="9">IF( I12=0, 0, IF( MONTH(I12+1) = MONTH(_Fev1), I12+1, 0 ) )</f>
        <v>44984</v>
      </c>
      <c r="K12" s="56">
        <f t="shared" si="9"/>
        <v>44985</v>
      </c>
      <c r="L12" s="56">
        <f t="shared" si="9"/>
        <v>0</v>
      </c>
      <c r="M12" s="56">
        <f t="shared" si="9"/>
        <v>0</v>
      </c>
      <c r="N12" s="56">
        <f t="shared" si="9"/>
        <v>0</v>
      </c>
      <c r="O12" s="58">
        <f t="shared" si="9"/>
        <v>0</v>
      </c>
      <c r="Q12" s="58">
        <f>IF( MONTH(W11+1) = MONTH(_Mar1), W11+1, 0 )</f>
        <v>45011</v>
      </c>
      <c r="R12" s="56">
        <f t="shared" ref="R12:W13" si="10">IF( Q12=0, 0, IF( MONTH(Q12+1) = MONTH(_Mar1), Q12+1, 0 ) )</f>
        <v>45012</v>
      </c>
      <c r="S12" s="56">
        <f t="shared" si="10"/>
        <v>45013</v>
      </c>
      <c r="T12" s="56">
        <f t="shared" si="10"/>
        <v>45014</v>
      </c>
      <c r="U12" s="56">
        <f t="shared" si="10"/>
        <v>45015</v>
      </c>
      <c r="V12" s="56">
        <f t="shared" si="10"/>
        <v>45016</v>
      </c>
      <c r="W12" s="58">
        <f t="shared" si="10"/>
        <v>0</v>
      </c>
      <c r="AB12" s="57"/>
    </row>
    <row r="13" spans="1:33" x14ac:dyDescent="0.2">
      <c r="A13" s="58">
        <f>IF( G12=0, 0, IF( MONTH(G12+1) = MONTH(_Jan1), G12+1, 0 ) )</f>
        <v>0</v>
      </c>
      <c r="B13" s="56">
        <f t="shared" si="8"/>
        <v>0</v>
      </c>
      <c r="C13" s="56">
        <f t="shared" si="8"/>
        <v>0</v>
      </c>
      <c r="D13" s="56">
        <f t="shared" si="8"/>
        <v>0</v>
      </c>
      <c r="E13" s="56">
        <f t="shared" si="8"/>
        <v>0</v>
      </c>
      <c r="F13" s="56">
        <f t="shared" si="8"/>
        <v>0</v>
      </c>
      <c r="G13" s="58">
        <f t="shared" si="8"/>
        <v>0</v>
      </c>
      <c r="I13" s="58">
        <f>IF( O12=0, 0, IF( MONTH(O12+1) = MONTH(_Fev1), O12+1, 0 ) )</f>
        <v>0</v>
      </c>
      <c r="J13" s="56">
        <f t="shared" si="9"/>
        <v>0</v>
      </c>
      <c r="K13" s="56">
        <f t="shared" si="9"/>
        <v>0</v>
      </c>
      <c r="L13" s="56">
        <f t="shared" si="9"/>
        <v>0</v>
      </c>
      <c r="M13" s="56">
        <f t="shared" si="9"/>
        <v>0</v>
      </c>
      <c r="N13" s="56">
        <f t="shared" si="9"/>
        <v>0</v>
      </c>
      <c r="O13" s="58">
        <f t="shared" si="9"/>
        <v>0</v>
      </c>
      <c r="Q13" s="58">
        <f>IF( W12=0, 0, IF( MONTH(W12+1) = MONTH(_Mar1), W12+1, 0 ) )</f>
        <v>0</v>
      </c>
      <c r="R13" s="56">
        <f t="shared" si="10"/>
        <v>0</v>
      </c>
      <c r="S13" s="56">
        <f t="shared" si="10"/>
        <v>0</v>
      </c>
      <c r="T13" s="56">
        <f t="shared" si="10"/>
        <v>0</v>
      </c>
      <c r="U13" s="56">
        <f t="shared" si="10"/>
        <v>0</v>
      </c>
      <c r="V13" s="56">
        <f t="shared" si="10"/>
        <v>0</v>
      </c>
      <c r="W13" s="58">
        <f t="shared" si="10"/>
        <v>0</v>
      </c>
    </row>
    <row r="14" spans="1:33" x14ac:dyDescent="0.2"/>
    <row r="15" spans="1:33" x14ac:dyDescent="0.2">
      <c r="A15" s="62">
        <f>DATE(ano,4,1)</f>
        <v>45017</v>
      </c>
      <c r="B15" s="63"/>
      <c r="C15" s="63"/>
      <c r="D15" s="63"/>
      <c r="E15" s="63"/>
      <c r="F15" s="63"/>
      <c r="G15" s="64"/>
      <c r="I15" s="62">
        <f>DATE(ano,5,1)</f>
        <v>45047</v>
      </c>
      <c r="J15" s="63"/>
      <c r="K15" s="63"/>
      <c r="L15" s="63"/>
      <c r="M15" s="63"/>
      <c r="N15" s="63"/>
      <c r="O15" s="64"/>
      <c r="Q15" s="62">
        <f>DATE(ano,6,1)</f>
        <v>45078</v>
      </c>
      <c r="R15" s="63"/>
      <c r="S15" s="63"/>
      <c r="T15" s="63"/>
      <c r="U15" s="63"/>
      <c r="V15" s="63"/>
      <c r="W15" s="64"/>
    </row>
    <row r="16" spans="1:33" x14ac:dyDescent="0.2">
      <c r="A16" s="53" t="str">
        <f t="shared" ref="A16:G16" si="11">A7</f>
        <v>D</v>
      </c>
      <c r="B16" s="54" t="str">
        <f t="shared" si="11"/>
        <v>S</v>
      </c>
      <c r="C16" s="54" t="str">
        <f t="shared" si="11"/>
        <v>T</v>
      </c>
      <c r="D16" s="54" t="str">
        <f t="shared" si="11"/>
        <v>Q</v>
      </c>
      <c r="E16" s="54" t="str">
        <f t="shared" si="11"/>
        <v>Q</v>
      </c>
      <c r="F16" s="54" t="str">
        <f t="shared" si="11"/>
        <v>S</v>
      </c>
      <c r="G16" s="55" t="str">
        <f t="shared" si="11"/>
        <v>S</v>
      </c>
      <c r="I16" s="53" t="str">
        <f t="shared" ref="I16:O16" si="12">A16</f>
        <v>D</v>
      </c>
      <c r="J16" s="54" t="str">
        <f t="shared" si="12"/>
        <v>S</v>
      </c>
      <c r="K16" s="54" t="str">
        <f t="shared" si="12"/>
        <v>T</v>
      </c>
      <c r="L16" s="54" t="str">
        <f t="shared" si="12"/>
        <v>Q</v>
      </c>
      <c r="M16" s="54" t="str">
        <f t="shared" si="12"/>
        <v>Q</v>
      </c>
      <c r="N16" s="54" t="str">
        <f t="shared" si="12"/>
        <v>S</v>
      </c>
      <c r="O16" s="55" t="str">
        <f t="shared" si="12"/>
        <v>S</v>
      </c>
      <c r="Q16" s="53" t="str">
        <f t="shared" ref="Q16:W16" si="13">I16</f>
        <v>D</v>
      </c>
      <c r="R16" s="54" t="str">
        <f t="shared" si="13"/>
        <v>S</v>
      </c>
      <c r="S16" s="54" t="str">
        <f t="shared" si="13"/>
        <v>T</v>
      </c>
      <c r="T16" s="54" t="str">
        <f t="shared" si="13"/>
        <v>Q</v>
      </c>
      <c r="U16" s="54" t="str">
        <f t="shared" si="13"/>
        <v>Q</v>
      </c>
      <c r="V16" s="54" t="str">
        <f t="shared" si="13"/>
        <v>S</v>
      </c>
      <c r="W16" s="55" t="str">
        <f t="shared" si="13"/>
        <v>S</v>
      </c>
    </row>
    <row r="17" spans="1:23" x14ac:dyDescent="0.2">
      <c r="A17" s="58">
        <f>IF( WEEKDAY(_Abr1) = MOD(COLUMN(),8), _Abr1, 0 )</f>
        <v>0</v>
      </c>
      <c r="B17" s="56">
        <f t="shared" ref="B17:G17" si="14">IF( A17&gt;0, A17+1, IF( WEEKDAY(_Abr1)=MOD(COLUMN(),8), _Abr1, 0) )</f>
        <v>0</v>
      </c>
      <c r="C17" s="56">
        <f t="shared" si="14"/>
        <v>0</v>
      </c>
      <c r="D17" s="56">
        <f t="shared" si="14"/>
        <v>0</v>
      </c>
      <c r="E17" s="56">
        <f t="shared" si="14"/>
        <v>0</v>
      </c>
      <c r="F17" s="56">
        <f t="shared" si="14"/>
        <v>0</v>
      </c>
      <c r="G17" s="58">
        <f t="shared" si="14"/>
        <v>45017</v>
      </c>
      <c r="I17" s="58">
        <f>IF( WEEKDAY(_Mai1) = MOD(COLUMN(),8), _Mai1, 0 )</f>
        <v>0</v>
      </c>
      <c r="J17" s="56">
        <f t="shared" ref="J17:O17" si="15">IF( I17&gt;0, I17+1, IF( WEEKDAY(_Mai1)=MOD(COLUMN(),8), _Mai1, 0) )</f>
        <v>45047</v>
      </c>
      <c r="K17" s="56">
        <f t="shared" si="15"/>
        <v>45048</v>
      </c>
      <c r="L17" s="56">
        <f t="shared" si="15"/>
        <v>45049</v>
      </c>
      <c r="M17" s="56">
        <f t="shared" si="15"/>
        <v>45050</v>
      </c>
      <c r="N17" s="56">
        <f t="shared" si="15"/>
        <v>45051</v>
      </c>
      <c r="O17" s="58">
        <f t="shared" si="15"/>
        <v>45052</v>
      </c>
      <c r="Q17" s="58">
        <f>IF( WEEKDAY(_Jun1) = MOD(COLUMN(),8), _Jun1, 0 )</f>
        <v>0</v>
      </c>
      <c r="R17" s="56">
        <f t="shared" ref="R17:W17" si="16">IF( Q17&gt;0, Q17+1, IF( WEEKDAY(_Jun1)=MOD(COLUMN(),8), _Jun1, 0) )</f>
        <v>0</v>
      </c>
      <c r="S17" s="56">
        <f t="shared" si="16"/>
        <v>0</v>
      </c>
      <c r="T17" s="56">
        <f t="shared" si="16"/>
        <v>0</v>
      </c>
      <c r="U17" s="56">
        <f t="shared" si="16"/>
        <v>45078</v>
      </c>
      <c r="V17" s="56">
        <f t="shared" si="16"/>
        <v>45079</v>
      </c>
      <c r="W17" s="58">
        <f t="shared" si="16"/>
        <v>45080</v>
      </c>
    </row>
    <row r="18" spans="1:23" x14ac:dyDescent="0.2">
      <c r="A18" s="58">
        <f>G17+1</f>
        <v>45018</v>
      </c>
      <c r="B18" s="56">
        <f t="shared" ref="B18:G20" si="17">A18+1</f>
        <v>45019</v>
      </c>
      <c r="C18" s="56">
        <f t="shared" si="17"/>
        <v>45020</v>
      </c>
      <c r="D18" s="56">
        <f t="shared" si="17"/>
        <v>45021</v>
      </c>
      <c r="E18" s="56">
        <f t="shared" si="17"/>
        <v>45022</v>
      </c>
      <c r="F18" s="56">
        <f t="shared" si="17"/>
        <v>45023</v>
      </c>
      <c r="G18" s="58">
        <f t="shared" si="17"/>
        <v>45024</v>
      </c>
      <c r="I18" s="58">
        <f>O17+1</f>
        <v>45053</v>
      </c>
      <c r="J18" s="56">
        <f t="shared" ref="J18:O20" si="18">I18+1</f>
        <v>45054</v>
      </c>
      <c r="K18" s="56">
        <f t="shared" si="18"/>
        <v>45055</v>
      </c>
      <c r="L18" s="56">
        <f t="shared" si="18"/>
        <v>45056</v>
      </c>
      <c r="M18" s="56">
        <f t="shared" si="18"/>
        <v>45057</v>
      </c>
      <c r="N18" s="56">
        <f t="shared" si="18"/>
        <v>45058</v>
      </c>
      <c r="O18" s="58">
        <f t="shared" si="18"/>
        <v>45059</v>
      </c>
      <c r="Q18" s="58">
        <f>W17+1</f>
        <v>45081</v>
      </c>
      <c r="R18" s="56">
        <f t="shared" ref="R18:W20" si="19">Q18+1</f>
        <v>45082</v>
      </c>
      <c r="S18" s="56">
        <f t="shared" si="19"/>
        <v>45083</v>
      </c>
      <c r="T18" s="56">
        <f t="shared" si="19"/>
        <v>45084</v>
      </c>
      <c r="U18" s="56">
        <f t="shared" si="19"/>
        <v>45085</v>
      </c>
      <c r="V18" s="56">
        <f t="shared" si="19"/>
        <v>45086</v>
      </c>
      <c r="W18" s="58">
        <f t="shared" si="19"/>
        <v>45087</v>
      </c>
    </row>
    <row r="19" spans="1:23" x14ac:dyDescent="0.2">
      <c r="A19" s="58">
        <f>G18+1</f>
        <v>45025</v>
      </c>
      <c r="B19" s="56">
        <f t="shared" si="17"/>
        <v>45026</v>
      </c>
      <c r="C19" s="56">
        <f t="shared" si="17"/>
        <v>45027</v>
      </c>
      <c r="D19" s="56">
        <f t="shared" si="17"/>
        <v>45028</v>
      </c>
      <c r="E19" s="56">
        <f t="shared" si="17"/>
        <v>45029</v>
      </c>
      <c r="F19" s="56">
        <f t="shared" si="17"/>
        <v>45030</v>
      </c>
      <c r="G19" s="58">
        <f t="shared" si="17"/>
        <v>45031</v>
      </c>
      <c r="I19" s="58">
        <f>O18+1</f>
        <v>45060</v>
      </c>
      <c r="J19" s="56">
        <f t="shared" si="18"/>
        <v>45061</v>
      </c>
      <c r="K19" s="56">
        <f t="shared" si="18"/>
        <v>45062</v>
      </c>
      <c r="L19" s="56">
        <f t="shared" si="18"/>
        <v>45063</v>
      </c>
      <c r="M19" s="56">
        <f t="shared" si="18"/>
        <v>45064</v>
      </c>
      <c r="N19" s="56">
        <f t="shared" si="18"/>
        <v>45065</v>
      </c>
      <c r="O19" s="58">
        <f t="shared" si="18"/>
        <v>45066</v>
      </c>
      <c r="Q19" s="58">
        <f>W18+1</f>
        <v>45088</v>
      </c>
      <c r="R19" s="56">
        <f t="shared" si="19"/>
        <v>45089</v>
      </c>
      <c r="S19" s="56">
        <f t="shared" si="19"/>
        <v>45090</v>
      </c>
      <c r="T19" s="56">
        <f t="shared" si="19"/>
        <v>45091</v>
      </c>
      <c r="U19" s="56">
        <f t="shared" si="19"/>
        <v>45092</v>
      </c>
      <c r="V19" s="56">
        <f t="shared" si="19"/>
        <v>45093</v>
      </c>
      <c r="W19" s="58">
        <f t="shared" si="19"/>
        <v>45094</v>
      </c>
    </row>
    <row r="20" spans="1:23" x14ac:dyDescent="0.2">
      <c r="A20" s="58">
        <f>G19+1</f>
        <v>45032</v>
      </c>
      <c r="B20" s="56">
        <f t="shared" si="17"/>
        <v>45033</v>
      </c>
      <c r="C20" s="56">
        <f t="shared" si="17"/>
        <v>45034</v>
      </c>
      <c r="D20" s="56">
        <f t="shared" si="17"/>
        <v>45035</v>
      </c>
      <c r="E20" s="56">
        <f t="shared" si="17"/>
        <v>45036</v>
      </c>
      <c r="F20" s="56">
        <f t="shared" si="17"/>
        <v>45037</v>
      </c>
      <c r="G20" s="58">
        <f t="shared" si="17"/>
        <v>45038</v>
      </c>
      <c r="I20" s="58">
        <f>O19+1</f>
        <v>45067</v>
      </c>
      <c r="J20" s="56">
        <f t="shared" si="18"/>
        <v>45068</v>
      </c>
      <c r="K20" s="56">
        <f t="shared" si="18"/>
        <v>45069</v>
      </c>
      <c r="L20" s="56">
        <f t="shared" si="18"/>
        <v>45070</v>
      </c>
      <c r="M20" s="56">
        <f t="shared" si="18"/>
        <v>45071</v>
      </c>
      <c r="N20" s="56">
        <f t="shared" si="18"/>
        <v>45072</v>
      </c>
      <c r="O20" s="58">
        <f t="shared" si="18"/>
        <v>45073</v>
      </c>
      <c r="Q20" s="58">
        <f>W19+1</f>
        <v>45095</v>
      </c>
      <c r="R20" s="56">
        <f t="shared" si="19"/>
        <v>45096</v>
      </c>
      <c r="S20" s="56">
        <f t="shared" si="19"/>
        <v>45097</v>
      </c>
      <c r="T20" s="56">
        <f t="shared" si="19"/>
        <v>45098</v>
      </c>
      <c r="U20" s="56">
        <f t="shared" si="19"/>
        <v>45099</v>
      </c>
      <c r="V20" s="56">
        <f t="shared" si="19"/>
        <v>45100</v>
      </c>
      <c r="W20" s="58">
        <f t="shared" si="19"/>
        <v>45101</v>
      </c>
    </row>
    <row r="21" spans="1:23" x14ac:dyDescent="0.2">
      <c r="A21" s="58">
        <f>IF( MONTH(G20+1) = MONTH(_Abr1), G20+1, 0 )</f>
        <v>45039</v>
      </c>
      <c r="B21" s="56">
        <f t="shared" ref="B21:G22" si="20">IF( A21=0, 0, IF( MONTH(A21+1) = MONTH(_Abr1), A21+1, 0 ) )</f>
        <v>45040</v>
      </c>
      <c r="C21" s="56">
        <f t="shared" si="20"/>
        <v>45041</v>
      </c>
      <c r="D21" s="56">
        <f t="shared" si="20"/>
        <v>45042</v>
      </c>
      <c r="E21" s="56">
        <f t="shared" si="20"/>
        <v>45043</v>
      </c>
      <c r="F21" s="56">
        <f t="shared" si="20"/>
        <v>45044</v>
      </c>
      <c r="G21" s="58">
        <f t="shared" si="20"/>
        <v>45045</v>
      </c>
      <c r="I21" s="58">
        <f>IF( MONTH(O20+1) = MONTH(_Mai1), O20+1, 0 )</f>
        <v>45074</v>
      </c>
      <c r="J21" s="56">
        <f t="shared" ref="J21:O22" si="21">IF( I21=0, 0, IF( MONTH(I21+1) = MONTH(_Mai1), I21+1, 0 ) )</f>
        <v>45075</v>
      </c>
      <c r="K21" s="56">
        <f t="shared" si="21"/>
        <v>45076</v>
      </c>
      <c r="L21" s="56">
        <f t="shared" si="21"/>
        <v>45077</v>
      </c>
      <c r="M21" s="56">
        <f t="shared" si="21"/>
        <v>0</v>
      </c>
      <c r="N21" s="56">
        <f t="shared" si="21"/>
        <v>0</v>
      </c>
      <c r="O21" s="58">
        <f t="shared" si="21"/>
        <v>0</v>
      </c>
      <c r="Q21" s="58">
        <f>IF( MONTH(W20+1) = MONTH(_Jun1), W20+1, 0 )</f>
        <v>45102</v>
      </c>
      <c r="R21" s="56">
        <f t="shared" ref="R21:W22" si="22">IF( Q21=0, 0, IF( MONTH(Q21+1) = MONTH(_Jun1), Q21+1, 0 ) )</f>
        <v>45103</v>
      </c>
      <c r="S21" s="56">
        <f t="shared" si="22"/>
        <v>45104</v>
      </c>
      <c r="T21" s="56">
        <f t="shared" si="22"/>
        <v>45105</v>
      </c>
      <c r="U21" s="56">
        <f t="shared" si="22"/>
        <v>45106</v>
      </c>
      <c r="V21" s="56">
        <f t="shared" si="22"/>
        <v>45107</v>
      </c>
      <c r="W21" s="58">
        <f t="shared" si="22"/>
        <v>0</v>
      </c>
    </row>
    <row r="22" spans="1:23" x14ac:dyDescent="0.2">
      <c r="A22" s="58">
        <f>IF( G21=0, 0, IF( MONTH(G21+1) = MONTH(_Abr1), G21+1, 0 ) )</f>
        <v>45046</v>
      </c>
      <c r="B22" s="56">
        <f t="shared" si="20"/>
        <v>0</v>
      </c>
      <c r="C22" s="56">
        <f t="shared" si="20"/>
        <v>0</v>
      </c>
      <c r="D22" s="56">
        <f t="shared" si="20"/>
        <v>0</v>
      </c>
      <c r="E22" s="56">
        <f t="shared" si="20"/>
        <v>0</v>
      </c>
      <c r="F22" s="56">
        <f t="shared" si="20"/>
        <v>0</v>
      </c>
      <c r="G22" s="58">
        <f t="shared" si="20"/>
        <v>0</v>
      </c>
      <c r="I22" s="58">
        <f>IF( O21=0, 0, IF( MONTH(O21+1) = MONTH(_Mai1), O21+1, 0 ) )</f>
        <v>0</v>
      </c>
      <c r="J22" s="56">
        <f t="shared" si="21"/>
        <v>0</v>
      </c>
      <c r="K22" s="56">
        <f t="shared" si="21"/>
        <v>0</v>
      </c>
      <c r="L22" s="56">
        <f t="shared" si="21"/>
        <v>0</v>
      </c>
      <c r="M22" s="56">
        <f t="shared" si="21"/>
        <v>0</v>
      </c>
      <c r="N22" s="56">
        <f t="shared" si="21"/>
        <v>0</v>
      </c>
      <c r="O22" s="58">
        <f t="shared" si="21"/>
        <v>0</v>
      </c>
      <c r="Q22" s="58">
        <f>IF( W21=0, 0, IF( MONTH(W21+1) = MONTH(_Jun1), W21+1, 0 ) )</f>
        <v>0</v>
      </c>
      <c r="R22" s="56">
        <f t="shared" si="22"/>
        <v>0</v>
      </c>
      <c r="S22" s="56">
        <f t="shared" si="22"/>
        <v>0</v>
      </c>
      <c r="T22" s="56">
        <f t="shared" si="22"/>
        <v>0</v>
      </c>
      <c r="U22" s="56">
        <f t="shared" si="22"/>
        <v>0</v>
      </c>
      <c r="V22" s="56">
        <f t="shared" si="22"/>
        <v>0</v>
      </c>
      <c r="W22" s="58">
        <f t="shared" si="22"/>
        <v>0</v>
      </c>
    </row>
    <row r="23" spans="1:23" x14ac:dyDescent="0.2"/>
    <row r="24" spans="1:23" x14ac:dyDescent="0.2">
      <c r="A24" s="62">
        <f>DATE(ano,7,1)</f>
        <v>45108</v>
      </c>
      <c r="B24" s="63"/>
      <c r="C24" s="63"/>
      <c r="D24" s="63"/>
      <c r="E24" s="63"/>
      <c r="F24" s="63"/>
      <c r="G24" s="64"/>
      <c r="I24" s="62">
        <f>DATE(ano,8,1)</f>
        <v>45139</v>
      </c>
      <c r="J24" s="63"/>
      <c r="K24" s="63"/>
      <c r="L24" s="63"/>
      <c r="M24" s="63"/>
      <c r="N24" s="63"/>
      <c r="O24" s="64"/>
      <c r="Q24" s="62">
        <f>DATE(ano,9,1)</f>
        <v>45170</v>
      </c>
      <c r="R24" s="63"/>
      <c r="S24" s="63"/>
      <c r="T24" s="63"/>
      <c r="U24" s="63"/>
      <c r="V24" s="63"/>
      <c r="W24" s="64"/>
    </row>
    <row r="25" spans="1:23" x14ac:dyDescent="0.2">
      <c r="A25" s="53" t="str">
        <f t="shared" ref="A25:G25" si="23">A16</f>
        <v>D</v>
      </c>
      <c r="B25" s="54" t="str">
        <f t="shared" si="23"/>
        <v>S</v>
      </c>
      <c r="C25" s="54" t="str">
        <f t="shared" si="23"/>
        <v>T</v>
      </c>
      <c r="D25" s="54" t="str">
        <f t="shared" si="23"/>
        <v>Q</v>
      </c>
      <c r="E25" s="54" t="str">
        <f t="shared" si="23"/>
        <v>Q</v>
      </c>
      <c r="F25" s="54" t="str">
        <f t="shared" si="23"/>
        <v>S</v>
      </c>
      <c r="G25" s="55" t="str">
        <f t="shared" si="23"/>
        <v>S</v>
      </c>
      <c r="I25" s="53" t="str">
        <f t="shared" ref="I25:O25" si="24">A25</f>
        <v>D</v>
      </c>
      <c r="J25" s="54" t="str">
        <f t="shared" si="24"/>
        <v>S</v>
      </c>
      <c r="K25" s="54" t="str">
        <f t="shared" si="24"/>
        <v>T</v>
      </c>
      <c r="L25" s="54" t="str">
        <f t="shared" si="24"/>
        <v>Q</v>
      </c>
      <c r="M25" s="54" t="str">
        <f t="shared" si="24"/>
        <v>Q</v>
      </c>
      <c r="N25" s="54" t="str">
        <f t="shared" si="24"/>
        <v>S</v>
      </c>
      <c r="O25" s="55" t="str">
        <f t="shared" si="24"/>
        <v>S</v>
      </c>
      <c r="Q25" s="53" t="str">
        <f t="shared" ref="Q25:W25" si="25">I25</f>
        <v>D</v>
      </c>
      <c r="R25" s="54" t="str">
        <f t="shared" si="25"/>
        <v>S</v>
      </c>
      <c r="S25" s="54" t="str">
        <f t="shared" si="25"/>
        <v>T</v>
      </c>
      <c r="T25" s="54" t="str">
        <f t="shared" si="25"/>
        <v>Q</v>
      </c>
      <c r="U25" s="54" t="str">
        <f t="shared" si="25"/>
        <v>Q</v>
      </c>
      <c r="V25" s="54" t="str">
        <f t="shared" si="25"/>
        <v>S</v>
      </c>
      <c r="W25" s="55" t="str">
        <f t="shared" si="25"/>
        <v>S</v>
      </c>
    </row>
    <row r="26" spans="1:23" x14ac:dyDescent="0.2">
      <c r="A26" s="58">
        <f>IF( WEEKDAY(_Jul1) = MOD(COLUMN(),8), _Jul1, 0 )</f>
        <v>0</v>
      </c>
      <c r="B26" s="56">
        <f t="shared" ref="B26:G26" si="26">IF( A26&gt;0, A26+1, IF( WEEKDAY(_Jul1)=MOD(COLUMN(),8), _Jul1, 0) )</f>
        <v>0</v>
      </c>
      <c r="C26" s="56">
        <f t="shared" si="26"/>
        <v>0</v>
      </c>
      <c r="D26" s="56">
        <f t="shared" si="26"/>
        <v>0</v>
      </c>
      <c r="E26" s="56">
        <f t="shared" si="26"/>
        <v>0</v>
      </c>
      <c r="F26" s="56">
        <f t="shared" si="26"/>
        <v>0</v>
      </c>
      <c r="G26" s="58">
        <f t="shared" si="26"/>
        <v>45108</v>
      </c>
      <c r="I26" s="58">
        <f>IF( WEEKDAY(_Ago1) = MOD(COLUMN(),8), _Ago1, 0 )</f>
        <v>0</v>
      </c>
      <c r="J26" s="56">
        <f t="shared" ref="J26:O26" si="27">IF( I26&gt;0, I26+1, IF( WEEKDAY(_Ago1)=MOD(COLUMN(),8), _Ago1, 0) )</f>
        <v>0</v>
      </c>
      <c r="K26" s="56">
        <f t="shared" si="27"/>
        <v>45139</v>
      </c>
      <c r="L26" s="56">
        <f t="shared" si="27"/>
        <v>45140</v>
      </c>
      <c r="M26" s="56">
        <f t="shared" si="27"/>
        <v>45141</v>
      </c>
      <c r="N26" s="56">
        <f t="shared" si="27"/>
        <v>45142</v>
      </c>
      <c r="O26" s="58">
        <f t="shared" si="27"/>
        <v>45143</v>
      </c>
      <c r="Q26" s="58">
        <f>IF( WEEKDAY(_Set1) = MOD(COLUMN(),8), _Set1, 0 )</f>
        <v>0</v>
      </c>
      <c r="R26" s="56">
        <f t="shared" ref="R26:W26" si="28">IF( Q26&gt;0, Q26+1, IF( WEEKDAY(_Set1)=MOD(COLUMN(),8), _Set1, 0) )</f>
        <v>0</v>
      </c>
      <c r="S26" s="56">
        <f t="shared" si="28"/>
        <v>0</v>
      </c>
      <c r="T26" s="56">
        <f t="shared" si="28"/>
        <v>0</v>
      </c>
      <c r="U26" s="56">
        <f t="shared" si="28"/>
        <v>0</v>
      </c>
      <c r="V26" s="56">
        <f t="shared" si="28"/>
        <v>45170</v>
      </c>
      <c r="W26" s="58">
        <f t="shared" si="28"/>
        <v>45171</v>
      </c>
    </row>
    <row r="27" spans="1:23" x14ac:dyDescent="0.2">
      <c r="A27" s="58">
        <f>G26+1</f>
        <v>45109</v>
      </c>
      <c r="B27" s="56">
        <f t="shared" ref="B27:G29" si="29">A27+1</f>
        <v>45110</v>
      </c>
      <c r="C27" s="56">
        <f t="shared" si="29"/>
        <v>45111</v>
      </c>
      <c r="D27" s="56">
        <f t="shared" si="29"/>
        <v>45112</v>
      </c>
      <c r="E27" s="56">
        <f t="shared" si="29"/>
        <v>45113</v>
      </c>
      <c r="F27" s="56">
        <f t="shared" si="29"/>
        <v>45114</v>
      </c>
      <c r="G27" s="58">
        <f t="shared" si="29"/>
        <v>45115</v>
      </c>
      <c r="I27" s="58">
        <f>O26+1</f>
        <v>45144</v>
      </c>
      <c r="J27" s="56">
        <f t="shared" ref="J27:O29" si="30">I27+1</f>
        <v>45145</v>
      </c>
      <c r="K27" s="56">
        <f t="shared" si="30"/>
        <v>45146</v>
      </c>
      <c r="L27" s="56">
        <f t="shared" si="30"/>
        <v>45147</v>
      </c>
      <c r="M27" s="56">
        <f t="shared" si="30"/>
        <v>45148</v>
      </c>
      <c r="N27" s="56">
        <f t="shared" si="30"/>
        <v>45149</v>
      </c>
      <c r="O27" s="58">
        <f t="shared" si="30"/>
        <v>45150</v>
      </c>
      <c r="Q27" s="58">
        <f>W26+1</f>
        <v>45172</v>
      </c>
      <c r="R27" s="56">
        <f t="shared" ref="R27:W29" si="31">Q27+1</f>
        <v>45173</v>
      </c>
      <c r="S27" s="56">
        <f t="shared" si="31"/>
        <v>45174</v>
      </c>
      <c r="T27" s="56">
        <f t="shared" si="31"/>
        <v>45175</v>
      </c>
      <c r="U27" s="56">
        <f t="shared" si="31"/>
        <v>45176</v>
      </c>
      <c r="V27" s="56">
        <f t="shared" si="31"/>
        <v>45177</v>
      </c>
      <c r="W27" s="58">
        <f t="shared" si="31"/>
        <v>45178</v>
      </c>
    </row>
    <row r="28" spans="1:23" x14ac:dyDescent="0.2">
      <c r="A28" s="58">
        <f>G27+1</f>
        <v>45116</v>
      </c>
      <c r="B28" s="56">
        <f t="shared" si="29"/>
        <v>45117</v>
      </c>
      <c r="C28" s="56">
        <f t="shared" si="29"/>
        <v>45118</v>
      </c>
      <c r="D28" s="56">
        <f t="shared" si="29"/>
        <v>45119</v>
      </c>
      <c r="E28" s="56">
        <f t="shared" si="29"/>
        <v>45120</v>
      </c>
      <c r="F28" s="56">
        <f t="shared" si="29"/>
        <v>45121</v>
      </c>
      <c r="G28" s="58">
        <f t="shared" si="29"/>
        <v>45122</v>
      </c>
      <c r="I28" s="58">
        <f>O27+1</f>
        <v>45151</v>
      </c>
      <c r="J28" s="56">
        <f t="shared" si="30"/>
        <v>45152</v>
      </c>
      <c r="K28" s="56">
        <f t="shared" si="30"/>
        <v>45153</v>
      </c>
      <c r="L28" s="56">
        <f t="shared" si="30"/>
        <v>45154</v>
      </c>
      <c r="M28" s="56">
        <f t="shared" si="30"/>
        <v>45155</v>
      </c>
      <c r="N28" s="56">
        <f t="shared" si="30"/>
        <v>45156</v>
      </c>
      <c r="O28" s="58">
        <f t="shared" si="30"/>
        <v>45157</v>
      </c>
      <c r="Q28" s="58">
        <f>W27+1</f>
        <v>45179</v>
      </c>
      <c r="R28" s="56">
        <f t="shared" si="31"/>
        <v>45180</v>
      </c>
      <c r="S28" s="56">
        <f t="shared" si="31"/>
        <v>45181</v>
      </c>
      <c r="T28" s="56">
        <f t="shared" si="31"/>
        <v>45182</v>
      </c>
      <c r="U28" s="56">
        <f t="shared" si="31"/>
        <v>45183</v>
      </c>
      <c r="V28" s="56">
        <f t="shared" si="31"/>
        <v>45184</v>
      </c>
      <c r="W28" s="58">
        <f t="shared" si="31"/>
        <v>45185</v>
      </c>
    </row>
    <row r="29" spans="1:23" x14ac:dyDescent="0.2">
      <c r="A29" s="58">
        <f>G28+1</f>
        <v>45123</v>
      </c>
      <c r="B29" s="56">
        <f t="shared" si="29"/>
        <v>45124</v>
      </c>
      <c r="C29" s="56">
        <f t="shared" si="29"/>
        <v>45125</v>
      </c>
      <c r="D29" s="56">
        <f t="shared" si="29"/>
        <v>45126</v>
      </c>
      <c r="E29" s="56">
        <f t="shared" si="29"/>
        <v>45127</v>
      </c>
      <c r="F29" s="56">
        <f t="shared" si="29"/>
        <v>45128</v>
      </c>
      <c r="G29" s="58">
        <f t="shared" si="29"/>
        <v>45129</v>
      </c>
      <c r="I29" s="58">
        <f>O28+1</f>
        <v>45158</v>
      </c>
      <c r="J29" s="56">
        <f t="shared" si="30"/>
        <v>45159</v>
      </c>
      <c r="K29" s="56">
        <f t="shared" si="30"/>
        <v>45160</v>
      </c>
      <c r="L29" s="56">
        <f t="shared" si="30"/>
        <v>45161</v>
      </c>
      <c r="M29" s="56">
        <f t="shared" si="30"/>
        <v>45162</v>
      </c>
      <c r="N29" s="56">
        <f t="shared" si="30"/>
        <v>45163</v>
      </c>
      <c r="O29" s="58">
        <f t="shared" si="30"/>
        <v>45164</v>
      </c>
      <c r="Q29" s="58">
        <f>W28+1</f>
        <v>45186</v>
      </c>
      <c r="R29" s="56">
        <f t="shared" si="31"/>
        <v>45187</v>
      </c>
      <c r="S29" s="56">
        <f t="shared" si="31"/>
        <v>45188</v>
      </c>
      <c r="T29" s="56">
        <f t="shared" si="31"/>
        <v>45189</v>
      </c>
      <c r="U29" s="56">
        <f t="shared" si="31"/>
        <v>45190</v>
      </c>
      <c r="V29" s="56">
        <f t="shared" si="31"/>
        <v>45191</v>
      </c>
      <c r="W29" s="58">
        <f t="shared" si="31"/>
        <v>45192</v>
      </c>
    </row>
    <row r="30" spans="1:23" x14ac:dyDescent="0.2">
      <c r="A30" s="58">
        <f>IF( MONTH(G29+1) = MONTH(_Jul1), G29+1, 0 )</f>
        <v>45130</v>
      </c>
      <c r="B30" s="56">
        <f t="shared" ref="B30:G31" si="32">IF( A30=0, 0, IF( MONTH(A30+1) = MONTH(_Jul1), A30+1, 0 ) )</f>
        <v>45131</v>
      </c>
      <c r="C30" s="56">
        <f t="shared" si="32"/>
        <v>45132</v>
      </c>
      <c r="D30" s="56">
        <f t="shared" si="32"/>
        <v>45133</v>
      </c>
      <c r="E30" s="56">
        <f t="shared" si="32"/>
        <v>45134</v>
      </c>
      <c r="F30" s="56">
        <f t="shared" si="32"/>
        <v>45135</v>
      </c>
      <c r="G30" s="58">
        <f t="shared" si="32"/>
        <v>45136</v>
      </c>
      <c r="I30" s="58">
        <f>IF( MONTH(O29+1) = MONTH(_Ago1), O29+1, 0 )</f>
        <v>45165</v>
      </c>
      <c r="J30" s="56">
        <f t="shared" ref="J30:O31" si="33">IF( I30=0, 0, IF( MONTH(I30+1) = MONTH(_Ago1), I30+1, 0 ) )</f>
        <v>45166</v>
      </c>
      <c r="K30" s="56">
        <f t="shared" si="33"/>
        <v>45167</v>
      </c>
      <c r="L30" s="56">
        <f t="shared" si="33"/>
        <v>45168</v>
      </c>
      <c r="M30" s="56">
        <f t="shared" si="33"/>
        <v>45169</v>
      </c>
      <c r="N30" s="56">
        <f t="shared" si="33"/>
        <v>0</v>
      </c>
      <c r="O30" s="58">
        <f t="shared" si="33"/>
        <v>0</v>
      </c>
      <c r="Q30" s="58">
        <f>IF( MONTH(W29+1) = MONTH(_Set1), W29+1, 0 )</f>
        <v>45193</v>
      </c>
      <c r="R30" s="56">
        <f t="shared" ref="R30:W31" si="34">IF( Q30=0, 0, IF( MONTH(Q30+1) = MONTH(_Set1), Q30+1, 0 ) )</f>
        <v>45194</v>
      </c>
      <c r="S30" s="56">
        <f t="shared" si="34"/>
        <v>45195</v>
      </c>
      <c r="T30" s="56">
        <f t="shared" si="34"/>
        <v>45196</v>
      </c>
      <c r="U30" s="56">
        <f t="shared" si="34"/>
        <v>45197</v>
      </c>
      <c r="V30" s="56">
        <f t="shared" si="34"/>
        <v>45198</v>
      </c>
      <c r="W30" s="58">
        <f t="shared" si="34"/>
        <v>45199</v>
      </c>
    </row>
    <row r="31" spans="1:23" x14ac:dyDescent="0.2">
      <c r="A31" s="58">
        <f>IF( G30=0, 0, IF( MONTH(G30+1) = MONTH(_Jul1), G30+1, 0 ) )</f>
        <v>45137</v>
      </c>
      <c r="B31" s="56">
        <f t="shared" si="32"/>
        <v>45138</v>
      </c>
      <c r="C31" s="56">
        <f t="shared" si="32"/>
        <v>0</v>
      </c>
      <c r="D31" s="56">
        <f t="shared" si="32"/>
        <v>0</v>
      </c>
      <c r="E31" s="56">
        <f t="shared" si="32"/>
        <v>0</v>
      </c>
      <c r="F31" s="56">
        <f t="shared" si="32"/>
        <v>0</v>
      </c>
      <c r="G31" s="58">
        <f t="shared" si="32"/>
        <v>0</v>
      </c>
      <c r="I31" s="58">
        <f>IF( O30=0, 0, IF( MONTH(O30+1) = MONTH(_Ago1), O30+1, 0 ) )</f>
        <v>0</v>
      </c>
      <c r="J31" s="56">
        <f t="shared" si="33"/>
        <v>0</v>
      </c>
      <c r="K31" s="56">
        <f t="shared" si="33"/>
        <v>0</v>
      </c>
      <c r="L31" s="56">
        <f t="shared" si="33"/>
        <v>0</v>
      </c>
      <c r="M31" s="56">
        <f t="shared" si="33"/>
        <v>0</v>
      </c>
      <c r="N31" s="56">
        <f t="shared" si="33"/>
        <v>0</v>
      </c>
      <c r="O31" s="58">
        <f t="shared" si="33"/>
        <v>0</v>
      </c>
      <c r="Q31" s="58">
        <f>IF( W30=0, 0, IF( MONTH(W30+1) = MONTH(_Set1), W30+1, 0 ) )</f>
        <v>0</v>
      </c>
      <c r="R31" s="56">
        <f t="shared" si="34"/>
        <v>0</v>
      </c>
      <c r="S31" s="56">
        <f t="shared" si="34"/>
        <v>0</v>
      </c>
      <c r="T31" s="56">
        <f t="shared" si="34"/>
        <v>0</v>
      </c>
      <c r="U31" s="56">
        <f t="shared" si="34"/>
        <v>0</v>
      </c>
      <c r="V31" s="56">
        <f t="shared" si="34"/>
        <v>0</v>
      </c>
      <c r="W31" s="58">
        <f t="shared" si="34"/>
        <v>0</v>
      </c>
    </row>
    <row r="32" spans="1:23" x14ac:dyDescent="0.2"/>
    <row r="33" spans="1:23" x14ac:dyDescent="0.2">
      <c r="A33" s="62">
        <f>DATE(ano,10,1)</f>
        <v>45200</v>
      </c>
      <c r="B33" s="63"/>
      <c r="C33" s="63"/>
      <c r="D33" s="63"/>
      <c r="E33" s="63"/>
      <c r="F33" s="63"/>
      <c r="G33" s="64"/>
      <c r="I33" s="62">
        <f>DATE(ano,11,1)</f>
        <v>45231</v>
      </c>
      <c r="J33" s="63"/>
      <c r="K33" s="63"/>
      <c r="L33" s="63"/>
      <c r="M33" s="63"/>
      <c r="N33" s="63"/>
      <c r="O33" s="64"/>
      <c r="Q33" s="62">
        <f>DATE(ano,12,1)</f>
        <v>45261</v>
      </c>
      <c r="R33" s="63"/>
      <c r="S33" s="63"/>
      <c r="T33" s="63"/>
      <c r="U33" s="63"/>
      <c r="V33" s="63"/>
      <c r="W33" s="64"/>
    </row>
    <row r="34" spans="1:23" x14ac:dyDescent="0.2">
      <c r="A34" s="53" t="str">
        <f t="shared" ref="A34:G34" si="35">A25</f>
        <v>D</v>
      </c>
      <c r="B34" s="54" t="str">
        <f t="shared" si="35"/>
        <v>S</v>
      </c>
      <c r="C34" s="54" t="str">
        <f t="shared" si="35"/>
        <v>T</v>
      </c>
      <c r="D34" s="54" t="str">
        <f t="shared" si="35"/>
        <v>Q</v>
      </c>
      <c r="E34" s="54" t="str">
        <f t="shared" si="35"/>
        <v>Q</v>
      </c>
      <c r="F34" s="54" t="str">
        <f t="shared" si="35"/>
        <v>S</v>
      </c>
      <c r="G34" s="55" t="str">
        <f t="shared" si="35"/>
        <v>S</v>
      </c>
      <c r="I34" s="53" t="str">
        <f t="shared" ref="I34:O34" si="36">A34</f>
        <v>D</v>
      </c>
      <c r="J34" s="54" t="str">
        <f t="shared" si="36"/>
        <v>S</v>
      </c>
      <c r="K34" s="54" t="str">
        <f t="shared" si="36"/>
        <v>T</v>
      </c>
      <c r="L34" s="54" t="str">
        <f t="shared" si="36"/>
        <v>Q</v>
      </c>
      <c r="M34" s="54" t="str">
        <f t="shared" si="36"/>
        <v>Q</v>
      </c>
      <c r="N34" s="54" t="str">
        <f t="shared" si="36"/>
        <v>S</v>
      </c>
      <c r="O34" s="55" t="str">
        <f t="shared" si="36"/>
        <v>S</v>
      </c>
      <c r="Q34" s="53" t="str">
        <f t="shared" ref="Q34:W34" si="37">I34</f>
        <v>D</v>
      </c>
      <c r="R34" s="54" t="str">
        <f t="shared" si="37"/>
        <v>S</v>
      </c>
      <c r="S34" s="54" t="str">
        <f t="shared" si="37"/>
        <v>T</v>
      </c>
      <c r="T34" s="54" t="str">
        <f t="shared" si="37"/>
        <v>Q</v>
      </c>
      <c r="U34" s="54" t="str">
        <f t="shared" si="37"/>
        <v>Q</v>
      </c>
      <c r="V34" s="54" t="str">
        <f t="shared" si="37"/>
        <v>S</v>
      </c>
      <c r="W34" s="55" t="str">
        <f t="shared" si="37"/>
        <v>S</v>
      </c>
    </row>
    <row r="35" spans="1:23" x14ac:dyDescent="0.2">
      <c r="A35" s="58">
        <f>IF( WEEKDAY(_Out1) = MOD(COLUMN(),8), _Out1, 0 )</f>
        <v>45200</v>
      </c>
      <c r="B35" s="56">
        <f t="shared" ref="B35:G35" si="38">IF( A35&gt;0, A35+1, IF( WEEKDAY(_Out1)=MOD(COLUMN(),8), _Out1, 0) )</f>
        <v>45201</v>
      </c>
      <c r="C35" s="56">
        <f t="shared" si="38"/>
        <v>45202</v>
      </c>
      <c r="D35" s="56">
        <f t="shared" si="38"/>
        <v>45203</v>
      </c>
      <c r="E35" s="56">
        <f t="shared" si="38"/>
        <v>45204</v>
      </c>
      <c r="F35" s="56">
        <f t="shared" si="38"/>
        <v>45205</v>
      </c>
      <c r="G35" s="58">
        <f t="shared" si="38"/>
        <v>45206</v>
      </c>
      <c r="I35" s="58">
        <f>IF( WEEKDAY(_Nov1) = MOD(COLUMN(),8), _Nov1, 0 )</f>
        <v>0</v>
      </c>
      <c r="J35" s="56">
        <f t="shared" ref="J35:O35" si="39">IF( I35&gt;0, I35+1, IF( WEEKDAY(_Nov1)=MOD(COLUMN(),8), _Nov1, 0) )</f>
        <v>0</v>
      </c>
      <c r="K35" s="56">
        <f t="shared" si="39"/>
        <v>0</v>
      </c>
      <c r="L35" s="56">
        <f t="shared" si="39"/>
        <v>45231</v>
      </c>
      <c r="M35" s="56">
        <f t="shared" si="39"/>
        <v>45232</v>
      </c>
      <c r="N35" s="56">
        <f t="shared" si="39"/>
        <v>45233</v>
      </c>
      <c r="O35" s="58">
        <f t="shared" si="39"/>
        <v>45234</v>
      </c>
      <c r="Q35" s="58">
        <f>IF( WEEKDAY(_Dez1) = MOD(COLUMN(),8), _Dez1, 0 )</f>
        <v>0</v>
      </c>
      <c r="R35" s="56">
        <f t="shared" ref="R35:W35" si="40">IF( Q35&gt;0, Q35+1, IF( WEEKDAY(_Dez1)=MOD(COLUMN(),8), _Dez1, 0) )</f>
        <v>0</v>
      </c>
      <c r="S35" s="56">
        <f t="shared" si="40"/>
        <v>0</v>
      </c>
      <c r="T35" s="56">
        <f t="shared" si="40"/>
        <v>0</v>
      </c>
      <c r="U35" s="56">
        <f t="shared" si="40"/>
        <v>0</v>
      </c>
      <c r="V35" s="56">
        <f t="shared" si="40"/>
        <v>45261</v>
      </c>
      <c r="W35" s="58">
        <f t="shared" si="40"/>
        <v>45262</v>
      </c>
    </row>
    <row r="36" spans="1:23" x14ac:dyDescent="0.2">
      <c r="A36" s="58">
        <f>G35+1</f>
        <v>45207</v>
      </c>
      <c r="B36" s="56">
        <f t="shared" ref="B36:G38" si="41">A36+1</f>
        <v>45208</v>
      </c>
      <c r="C36" s="56">
        <f t="shared" si="41"/>
        <v>45209</v>
      </c>
      <c r="D36" s="56">
        <f t="shared" si="41"/>
        <v>45210</v>
      </c>
      <c r="E36" s="56">
        <f t="shared" si="41"/>
        <v>45211</v>
      </c>
      <c r="F36" s="56">
        <f t="shared" si="41"/>
        <v>45212</v>
      </c>
      <c r="G36" s="58">
        <f t="shared" si="41"/>
        <v>45213</v>
      </c>
      <c r="I36" s="58">
        <f>O35+1</f>
        <v>45235</v>
      </c>
      <c r="J36" s="56">
        <f t="shared" ref="J36:O38" si="42">I36+1</f>
        <v>45236</v>
      </c>
      <c r="K36" s="56">
        <f t="shared" si="42"/>
        <v>45237</v>
      </c>
      <c r="L36" s="56">
        <f t="shared" si="42"/>
        <v>45238</v>
      </c>
      <c r="M36" s="56">
        <f t="shared" si="42"/>
        <v>45239</v>
      </c>
      <c r="N36" s="56">
        <f t="shared" si="42"/>
        <v>45240</v>
      </c>
      <c r="O36" s="58">
        <f t="shared" si="42"/>
        <v>45241</v>
      </c>
      <c r="Q36" s="58">
        <f>W35+1</f>
        <v>45263</v>
      </c>
      <c r="R36" s="56">
        <f t="shared" ref="R36:W38" si="43">Q36+1</f>
        <v>45264</v>
      </c>
      <c r="S36" s="56">
        <f t="shared" si="43"/>
        <v>45265</v>
      </c>
      <c r="T36" s="56">
        <f t="shared" si="43"/>
        <v>45266</v>
      </c>
      <c r="U36" s="56">
        <f t="shared" si="43"/>
        <v>45267</v>
      </c>
      <c r="V36" s="56">
        <f t="shared" si="43"/>
        <v>45268</v>
      </c>
      <c r="W36" s="58">
        <f t="shared" si="43"/>
        <v>45269</v>
      </c>
    </row>
    <row r="37" spans="1:23" x14ac:dyDescent="0.2">
      <c r="A37" s="58">
        <f>G36+1</f>
        <v>45214</v>
      </c>
      <c r="B37" s="56">
        <f t="shared" si="41"/>
        <v>45215</v>
      </c>
      <c r="C37" s="56">
        <f t="shared" si="41"/>
        <v>45216</v>
      </c>
      <c r="D37" s="56">
        <f t="shared" si="41"/>
        <v>45217</v>
      </c>
      <c r="E37" s="56">
        <f t="shared" si="41"/>
        <v>45218</v>
      </c>
      <c r="F37" s="56">
        <f t="shared" si="41"/>
        <v>45219</v>
      </c>
      <c r="G37" s="58">
        <f t="shared" si="41"/>
        <v>45220</v>
      </c>
      <c r="I37" s="58">
        <f>O36+1</f>
        <v>45242</v>
      </c>
      <c r="J37" s="56">
        <f t="shared" si="42"/>
        <v>45243</v>
      </c>
      <c r="K37" s="56">
        <f t="shared" si="42"/>
        <v>45244</v>
      </c>
      <c r="L37" s="56">
        <f t="shared" si="42"/>
        <v>45245</v>
      </c>
      <c r="M37" s="56">
        <f t="shared" si="42"/>
        <v>45246</v>
      </c>
      <c r="N37" s="56">
        <f t="shared" si="42"/>
        <v>45247</v>
      </c>
      <c r="O37" s="58">
        <f t="shared" si="42"/>
        <v>45248</v>
      </c>
      <c r="Q37" s="58">
        <f>W36+1</f>
        <v>45270</v>
      </c>
      <c r="R37" s="56">
        <f t="shared" si="43"/>
        <v>45271</v>
      </c>
      <c r="S37" s="56">
        <f t="shared" si="43"/>
        <v>45272</v>
      </c>
      <c r="T37" s="56">
        <f t="shared" si="43"/>
        <v>45273</v>
      </c>
      <c r="U37" s="56">
        <f t="shared" si="43"/>
        <v>45274</v>
      </c>
      <c r="V37" s="56">
        <f t="shared" si="43"/>
        <v>45275</v>
      </c>
      <c r="W37" s="58">
        <f t="shared" si="43"/>
        <v>45276</v>
      </c>
    </row>
    <row r="38" spans="1:23" x14ac:dyDescent="0.2">
      <c r="A38" s="58">
        <f>G37+1</f>
        <v>45221</v>
      </c>
      <c r="B38" s="56">
        <f t="shared" si="41"/>
        <v>45222</v>
      </c>
      <c r="C38" s="56">
        <f t="shared" si="41"/>
        <v>45223</v>
      </c>
      <c r="D38" s="56">
        <f t="shared" si="41"/>
        <v>45224</v>
      </c>
      <c r="E38" s="56">
        <f t="shared" si="41"/>
        <v>45225</v>
      </c>
      <c r="F38" s="56">
        <f t="shared" si="41"/>
        <v>45226</v>
      </c>
      <c r="G38" s="58">
        <f t="shared" si="41"/>
        <v>45227</v>
      </c>
      <c r="I38" s="58">
        <f>O37+1</f>
        <v>45249</v>
      </c>
      <c r="J38" s="56">
        <f t="shared" si="42"/>
        <v>45250</v>
      </c>
      <c r="K38" s="56">
        <f t="shared" si="42"/>
        <v>45251</v>
      </c>
      <c r="L38" s="56">
        <f t="shared" si="42"/>
        <v>45252</v>
      </c>
      <c r="M38" s="56">
        <f t="shared" si="42"/>
        <v>45253</v>
      </c>
      <c r="N38" s="56">
        <f t="shared" si="42"/>
        <v>45254</v>
      </c>
      <c r="O38" s="58">
        <f t="shared" si="42"/>
        <v>45255</v>
      </c>
      <c r="Q38" s="58">
        <f>W37+1</f>
        <v>45277</v>
      </c>
      <c r="R38" s="56">
        <f t="shared" si="43"/>
        <v>45278</v>
      </c>
      <c r="S38" s="56">
        <f t="shared" si="43"/>
        <v>45279</v>
      </c>
      <c r="T38" s="56">
        <f t="shared" si="43"/>
        <v>45280</v>
      </c>
      <c r="U38" s="56">
        <f t="shared" si="43"/>
        <v>45281</v>
      </c>
      <c r="V38" s="56">
        <f t="shared" si="43"/>
        <v>45282</v>
      </c>
      <c r="W38" s="58">
        <f t="shared" si="43"/>
        <v>45283</v>
      </c>
    </row>
    <row r="39" spans="1:23" x14ac:dyDescent="0.2">
      <c r="A39" s="58">
        <f>IF( MONTH(G38+1) = MONTH(_Out1), G38+1, 0 )</f>
        <v>45228</v>
      </c>
      <c r="B39" s="56">
        <f t="shared" ref="B39:G40" si="44">IF( A39=0, 0, IF( MONTH(A39+1) = MONTH(_Out1), A39+1, 0 ) )</f>
        <v>45229</v>
      </c>
      <c r="C39" s="56">
        <f t="shared" si="44"/>
        <v>45230</v>
      </c>
      <c r="D39" s="56">
        <f t="shared" si="44"/>
        <v>0</v>
      </c>
      <c r="E39" s="56">
        <f t="shared" si="44"/>
        <v>0</v>
      </c>
      <c r="F39" s="56">
        <f t="shared" si="44"/>
        <v>0</v>
      </c>
      <c r="G39" s="58">
        <f t="shared" si="44"/>
        <v>0</v>
      </c>
      <c r="I39" s="58">
        <f>IF( MONTH(O38+1) = MONTH(_Nov1), O38+1, 0 )</f>
        <v>45256</v>
      </c>
      <c r="J39" s="56">
        <f t="shared" ref="J39:O40" si="45">IF( I39=0, 0, IF( MONTH(I39+1) = MONTH(_Nov1), I39+1, 0 ) )</f>
        <v>45257</v>
      </c>
      <c r="K39" s="56">
        <f t="shared" si="45"/>
        <v>45258</v>
      </c>
      <c r="L39" s="56">
        <f t="shared" si="45"/>
        <v>45259</v>
      </c>
      <c r="M39" s="56">
        <f t="shared" si="45"/>
        <v>45260</v>
      </c>
      <c r="N39" s="56">
        <f t="shared" si="45"/>
        <v>0</v>
      </c>
      <c r="O39" s="58">
        <f t="shared" si="45"/>
        <v>0</v>
      </c>
      <c r="Q39" s="58">
        <f>IF( MONTH(W38+1) = MONTH(_Dez1), W38+1, 0 )</f>
        <v>45284</v>
      </c>
      <c r="R39" s="56">
        <f t="shared" ref="R39:W40" si="46">IF( Q39=0, 0, IF( MONTH(Q39+1) = MONTH(_Dez1), Q39+1, 0 ) )</f>
        <v>45285</v>
      </c>
      <c r="S39" s="56">
        <f t="shared" si="46"/>
        <v>45286</v>
      </c>
      <c r="T39" s="56">
        <f t="shared" si="46"/>
        <v>45287</v>
      </c>
      <c r="U39" s="56">
        <f t="shared" si="46"/>
        <v>45288</v>
      </c>
      <c r="V39" s="56">
        <f t="shared" si="46"/>
        <v>45289</v>
      </c>
      <c r="W39" s="58">
        <f t="shared" si="46"/>
        <v>45290</v>
      </c>
    </row>
    <row r="40" spans="1:23" x14ac:dyDescent="0.2">
      <c r="A40" s="58">
        <f>IF( G39=0, 0, IF( MONTH(G39+1) = MONTH(_Out1), G39+1, 0 ) )</f>
        <v>0</v>
      </c>
      <c r="B40" s="56">
        <f t="shared" si="44"/>
        <v>0</v>
      </c>
      <c r="C40" s="56">
        <f t="shared" si="44"/>
        <v>0</v>
      </c>
      <c r="D40" s="56">
        <f t="shared" si="44"/>
        <v>0</v>
      </c>
      <c r="E40" s="56">
        <f t="shared" si="44"/>
        <v>0</v>
      </c>
      <c r="F40" s="56">
        <f t="shared" si="44"/>
        <v>0</v>
      </c>
      <c r="G40" s="58">
        <f t="shared" si="44"/>
        <v>0</v>
      </c>
      <c r="I40" s="58">
        <f>IF( O39=0, 0, IF( MONTH(O39+1) = MONTH(_Nov1), O39+1, 0 ) )</f>
        <v>0</v>
      </c>
      <c r="J40" s="56">
        <f t="shared" si="45"/>
        <v>0</v>
      </c>
      <c r="K40" s="56">
        <f t="shared" si="45"/>
        <v>0</v>
      </c>
      <c r="L40" s="56">
        <f t="shared" si="45"/>
        <v>0</v>
      </c>
      <c r="M40" s="56">
        <f t="shared" si="45"/>
        <v>0</v>
      </c>
      <c r="N40" s="56">
        <f t="shared" si="45"/>
        <v>0</v>
      </c>
      <c r="O40" s="58">
        <f t="shared" si="45"/>
        <v>0</v>
      </c>
      <c r="Q40" s="58">
        <f>IF( W39=0, 0, IF( MONTH(W39+1) = MONTH(_Dez1), W39+1, 0 ) )</f>
        <v>45291</v>
      </c>
      <c r="R40" s="56">
        <f t="shared" si="46"/>
        <v>0</v>
      </c>
      <c r="S40" s="56">
        <f t="shared" si="46"/>
        <v>0</v>
      </c>
      <c r="T40" s="56">
        <f t="shared" si="46"/>
        <v>0</v>
      </c>
      <c r="U40" s="56">
        <f t="shared" si="46"/>
        <v>0</v>
      </c>
      <c r="V40" s="56">
        <f t="shared" si="46"/>
        <v>0</v>
      </c>
      <c r="W40" s="58">
        <f t="shared" si="46"/>
        <v>0</v>
      </c>
    </row>
    <row r="41" spans="1:23" x14ac:dyDescent="0.2"/>
    <row r="42" spans="1:23" x14ac:dyDescent="0.2"/>
    <row r="43" spans="1:23" x14ac:dyDescent="0.2"/>
  </sheetData>
  <sheetProtection algorithmName="SHA-512" hashValue="0Arq6lryH/5674iZJ8FC1pld1InRsVx1tDKTHFLUO6N6gWmW3XvE9fR5lHtPUXBBkPwsnejvZa40UNp93fjzgQ==" saltValue="SWHFC2vrdhpSTpnwJGqujw==" spinCount="100000" sheet="1" objects="1" scenarios="1"/>
  <mergeCells count="1">
    <mergeCell ref="C2:E2"/>
  </mergeCells>
  <conditionalFormatting sqref="A8:G13 I8:O13 Q8:W13 A17:G22 I17:O22 Q17:W22 A26:G31 I26:O31 Q26:W31 A35:G40 I35:O40 Q35:W40">
    <cfRule type="expression" dxfId="2" priority="1" stopIfTrue="1">
      <formula xml:space="preserve"> AND( Exibir_Fer_Nac, MATCH(A8, _Brz1, 0) &gt; 0 )</formula>
    </cfRule>
    <cfRule type="expression" dxfId="1" priority="2" stopIfTrue="1">
      <formula xml:space="preserve"> AND( Exibir_Dat_Com, MATCH(A8, _Brz2, 0) &gt; 0 )</formula>
    </cfRule>
    <cfRule type="expression" dxfId="0" priority="3" stopIfTrue="1">
      <formula xml:space="preserve"> AND( Exibir_Fer_EUA, MATCH(A8, USA, 0) &gt; 0 )</formula>
    </cfRule>
  </conditionalFormatting>
  <dataValidations disablePrompts="1" count="1">
    <dataValidation type="whole" allowBlank="1" showErrorMessage="1" sqref="C2:E2">
      <formula1>1900</formula1>
      <formula2>2050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Spinner 1">
              <controlPr defaultSize="0" print="0" autoPict="0">
                <anchor moveWithCells="1" sizeWithCells="1">
                  <from>
                    <xdr:col>5</xdr:col>
                    <xdr:colOff>19050</xdr:colOff>
                    <xdr:row>0</xdr:row>
                    <xdr:rowOff>161925</xdr:rowOff>
                  </from>
                  <to>
                    <xdr:col>6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Group Box 2">
              <controlPr defaultSize="0" print="0" autoFill="0" autoPict="0">
                <anchor moveWithCells="1">
                  <from>
                    <xdr:col>6</xdr:col>
                    <xdr:colOff>85725</xdr:colOff>
                    <xdr:row>0</xdr:row>
                    <xdr:rowOff>95250</xdr:rowOff>
                  </from>
                  <to>
                    <xdr:col>22</xdr:col>
                    <xdr:colOff>152400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print="0" autoFill="0" autoLine="0" autoPict="0">
                <anchor moveWithCells="1">
                  <from>
                    <xdr:col>17</xdr:col>
                    <xdr:colOff>133350</xdr:colOff>
                    <xdr:row>0</xdr:row>
                    <xdr:rowOff>161925</xdr:rowOff>
                  </from>
                  <to>
                    <xdr:col>22</xdr:col>
                    <xdr:colOff>47625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print="0" autoFill="0" autoLine="0" autoPict="0">
                <anchor moveWithCells="1">
                  <from>
                    <xdr:col>11</xdr:col>
                    <xdr:colOff>228600</xdr:colOff>
                    <xdr:row>0</xdr:row>
                    <xdr:rowOff>161925</xdr:rowOff>
                  </from>
                  <to>
                    <xdr:col>16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print="0" autoFill="0" autoLine="0" autoPict="0">
                <anchor moveWithCells="1">
                  <from>
                    <xdr:col>6</xdr:col>
                    <xdr:colOff>180975</xdr:colOff>
                    <xdr:row>0</xdr:row>
                    <xdr:rowOff>161925</xdr:rowOff>
                  </from>
                  <to>
                    <xdr:col>11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1:D34"/>
  <sheetViews>
    <sheetView showGridLines="0" showRowColHeaders="0" workbookViewId="0">
      <selection activeCell="F32" sqref="F32"/>
    </sheetView>
  </sheetViews>
  <sheetFormatPr defaultColWidth="9.140625" defaultRowHeight="12.75" x14ac:dyDescent="0.2"/>
  <cols>
    <col min="1" max="1" width="30.7109375" style="6" customWidth="1"/>
    <col min="2" max="2" width="24.7109375" style="6" customWidth="1"/>
    <col min="3" max="3" width="8.7109375" style="7" customWidth="1"/>
    <col min="4" max="4" width="28.7109375" style="8" customWidth="1"/>
    <col min="5" max="16384" width="9.140625" style="6"/>
  </cols>
  <sheetData>
    <row r="1" spans="1:4" ht="19.5" x14ac:dyDescent="0.25">
      <c r="A1" s="5" t="str">
        <f>"Tabelas de Feriados em "&amp;ano</f>
        <v>Tabelas de Feriados em 2023</v>
      </c>
    </row>
    <row r="2" spans="1:4" ht="13.5" thickBot="1" x14ac:dyDescent="0.25"/>
    <row r="3" spans="1:4" ht="15" x14ac:dyDescent="0.2">
      <c r="A3" s="9" t="s">
        <v>21</v>
      </c>
      <c r="B3" s="10" t="s">
        <v>10</v>
      </c>
      <c r="C3" s="11" t="s">
        <v>22</v>
      </c>
      <c r="D3" s="12" t="s">
        <v>23</v>
      </c>
    </row>
    <row r="4" spans="1:4" x14ac:dyDescent="0.2">
      <c r="A4" s="13" t="s">
        <v>24</v>
      </c>
      <c r="B4" s="14">
        <f>DATE(ano,1,1)</f>
        <v>44927</v>
      </c>
      <c r="C4" s="15" t="s">
        <v>25</v>
      </c>
      <c r="D4" s="16" t="s">
        <v>26</v>
      </c>
    </row>
    <row r="5" spans="1:4" x14ac:dyDescent="0.2">
      <c r="A5" s="13" t="s">
        <v>27</v>
      </c>
      <c r="B5" s="14">
        <f>Páscoa-2</f>
        <v>45023</v>
      </c>
      <c r="C5" s="15" t="s">
        <v>28</v>
      </c>
      <c r="D5" s="16" t="s">
        <v>29</v>
      </c>
    </row>
    <row r="6" spans="1:4" x14ac:dyDescent="0.2">
      <c r="A6" s="17" t="s">
        <v>30</v>
      </c>
      <c r="B6" s="14">
        <f>IF(MOD(ano,19)&gt;10,DATE(ano,4,18),IF(DAY(DATE(ano,3,22)+MOD(19*MOD(ano,19)+24,30)+MOD(6*MOD(19*MOD(ano,19)+24,30)+4*MOD(ano,7)+2*MOD(ano,4)+5,7))=26,DATE(ano,4,19),DATE(ano,3,22)+MOD(19*MOD(ano,19)+24,30)+MOD(6*MOD(19*MOD(ano,19)+24,30)+4*MOD(ano,7)+2*MOD(ano,4)+5,7)))</f>
        <v>45025</v>
      </c>
      <c r="C6" s="15" t="s">
        <v>28</v>
      </c>
      <c r="D6" s="16" t="s">
        <v>31</v>
      </c>
    </row>
    <row r="7" spans="1:4" x14ac:dyDescent="0.2">
      <c r="A7" s="13" t="s">
        <v>32</v>
      </c>
      <c r="B7" s="14">
        <f>DATE(ano,4,21)</f>
        <v>45037</v>
      </c>
      <c r="C7" s="15" t="s">
        <v>25</v>
      </c>
      <c r="D7" s="16" t="s">
        <v>33</v>
      </c>
    </row>
    <row r="8" spans="1:4" x14ac:dyDescent="0.2">
      <c r="A8" s="13" t="s">
        <v>34</v>
      </c>
      <c r="B8" s="14">
        <f>DATE(ano,5,1)</f>
        <v>45047</v>
      </c>
      <c r="C8" s="15" t="s">
        <v>25</v>
      </c>
      <c r="D8" s="16" t="s">
        <v>35</v>
      </c>
    </row>
    <row r="9" spans="1:4" x14ac:dyDescent="0.2">
      <c r="A9" s="13" t="s">
        <v>36</v>
      </c>
      <c r="B9" s="14">
        <f>Páscoa+60</f>
        <v>45085</v>
      </c>
      <c r="C9" s="15" t="s">
        <v>28</v>
      </c>
      <c r="D9" s="16" t="s">
        <v>37</v>
      </c>
    </row>
    <row r="10" spans="1:4" x14ac:dyDescent="0.2">
      <c r="A10" s="13" t="s">
        <v>38</v>
      </c>
      <c r="B10" s="14">
        <f>DATE(ano,9,7)</f>
        <v>45176</v>
      </c>
      <c r="C10" s="15" t="s">
        <v>25</v>
      </c>
      <c r="D10" s="16" t="s">
        <v>39</v>
      </c>
    </row>
    <row r="11" spans="1:4" x14ac:dyDescent="0.2">
      <c r="A11" s="13" t="s">
        <v>40</v>
      </c>
      <c r="B11" s="14">
        <f>DATE(ano,10,12)</f>
        <v>45211</v>
      </c>
      <c r="C11" s="15" t="s">
        <v>25</v>
      </c>
      <c r="D11" s="16" t="s">
        <v>41</v>
      </c>
    </row>
    <row r="12" spans="1:4" x14ac:dyDescent="0.2">
      <c r="A12" s="13" t="s">
        <v>42</v>
      </c>
      <c r="B12" s="14">
        <f>DATE(ano,11,2)</f>
        <v>45232</v>
      </c>
      <c r="C12" s="15" t="s">
        <v>25</v>
      </c>
      <c r="D12" s="16" t="s">
        <v>43</v>
      </c>
    </row>
    <row r="13" spans="1:4" x14ac:dyDescent="0.2">
      <c r="A13" s="13" t="s">
        <v>44</v>
      </c>
      <c r="B13" s="14">
        <f>DATE(ano,11,15)</f>
        <v>45245</v>
      </c>
      <c r="C13" s="15" t="s">
        <v>25</v>
      </c>
      <c r="D13" s="16" t="s">
        <v>45</v>
      </c>
    </row>
    <row r="14" spans="1:4" ht="13.5" thickBot="1" x14ac:dyDescent="0.25">
      <c r="A14" s="18" t="s">
        <v>46</v>
      </c>
      <c r="B14" s="19">
        <f>DATE(ano,12,25)</f>
        <v>45285</v>
      </c>
      <c r="C14" s="20" t="s">
        <v>25</v>
      </c>
      <c r="D14" s="21" t="s">
        <v>47</v>
      </c>
    </row>
    <row r="15" spans="1:4" ht="13.5" thickBot="1" x14ac:dyDescent="0.25"/>
    <row r="16" spans="1:4" ht="15" x14ac:dyDescent="0.2">
      <c r="A16" s="22" t="s">
        <v>48</v>
      </c>
      <c r="B16" s="23" t="s">
        <v>10</v>
      </c>
      <c r="C16" s="23" t="s">
        <v>22</v>
      </c>
      <c r="D16" s="24" t="s">
        <v>23</v>
      </c>
    </row>
    <row r="17" spans="1:4" x14ac:dyDescent="0.2">
      <c r="A17" s="25" t="s">
        <v>49</v>
      </c>
      <c r="B17" s="26">
        <f>Páscoa-47</f>
        <v>44978</v>
      </c>
      <c r="C17" s="27" t="s">
        <v>28</v>
      </c>
      <c r="D17" s="28" t="s">
        <v>50</v>
      </c>
    </row>
    <row r="18" spans="1:4" x14ac:dyDescent="0.2">
      <c r="A18" s="25" t="s">
        <v>51</v>
      </c>
      <c r="B18" s="26">
        <f>Páscoa-7</f>
        <v>45018</v>
      </c>
      <c r="C18" s="27" t="s">
        <v>28</v>
      </c>
      <c r="D18" s="28" t="s">
        <v>52</v>
      </c>
    </row>
    <row r="19" spans="1:4" x14ac:dyDescent="0.2">
      <c r="A19" s="25" t="s">
        <v>53</v>
      </c>
      <c r="B19" s="26">
        <f>Páscoa-1</f>
        <v>45024</v>
      </c>
      <c r="C19" s="27" t="s">
        <v>28</v>
      </c>
      <c r="D19" s="28" t="s">
        <v>54</v>
      </c>
    </row>
    <row r="20" spans="1:4" x14ac:dyDescent="0.2">
      <c r="A20" s="25" t="s">
        <v>55</v>
      </c>
      <c r="B20" s="26">
        <f>DATE(ano,5,1)+IF(1&lt;WEEKDAY(DATE(ano,5,1)),7-WEEKDAY(DATE(ano,5,1))+1,1-WEEKDAY(DATE(ano,5,1)))+(2-1)*7</f>
        <v>45060</v>
      </c>
      <c r="C20" s="27" t="s">
        <v>28</v>
      </c>
      <c r="D20" s="28" t="s">
        <v>56</v>
      </c>
    </row>
    <row r="21" spans="1:4" x14ac:dyDescent="0.2">
      <c r="A21" s="25" t="s">
        <v>57</v>
      </c>
      <c r="B21" s="26">
        <f>DATE(ano,6,12)</f>
        <v>45089</v>
      </c>
      <c r="C21" s="27" t="s">
        <v>25</v>
      </c>
      <c r="D21" s="28" t="s">
        <v>58</v>
      </c>
    </row>
    <row r="22" spans="1:4" x14ac:dyDescent="0.2">
      <c r="A22" s="25" t="s">
        <v>59</v>
      </c>
      <c r="B22" s="26">
        <f>DATE(ano,10,12)</f>
        <v>45211</v>
      </c>
      <c r="C22" s="27" t="s">
        <v>25</v>
      </c>
      <c r="D22" s="28" t="s">
        <v>41</v>
      </c>
    </row>
    <row r="23" spans="1:4" x14ac:dyDescent="0.2">
      <c r="A23" s="25" t="s">
        <v>60</v>
      </c>
      <c r="B23" s="26">
        <f>DATE(ano,8,1)+IF(1&lt;WEEKDAY(DATE(ano,8,1)),7-WEEKDAY(DATE(ano,8,1))+1,1-WEEKDAY(DATE(ano,8,1)))+(2-1)*7</f>
        <v>45151</v>
      </c>
      <c r="C23" s="27" t="s">
        <v>28</v>
      </c>
      <c r="D23" s="28" t="s">
        <v>61</v>
      </c>
    </row>
    <row r="24" spans="1:4" ht="13.5" thickBot="1" x14ac:dyDescent="0.25">
      <c r="A24" s="29" t="s">
        <v>62</v>
      </c>
      <c r="B24" s="30">
        <f>DATE(ano,9,30)</f>
        <v>45199</v>
      </c>
      <c r="C24" s="31" t="s">
        <v>25</v>
      </c>
      <c r="D24" s="32" t="s">
        <v>63</v>
      </c>
    </row>
    <row r="25" spans="1:4" ht="13.5" thickBot="1" x14ac:dyDescent="0.25"/>
    <row r="26" spans="1:4" ht="15" x14ac:dyDescent="0.2">
      <c r="A26" s="33" t="s">
        <v>64</v>
      </c>
      <c r="B26" s="34" t="s">
        <v>10</v>
      </c>
      <c r="C26" s="34" t="s">
        <v>22</v>
      </c>
      <c r="D26" s="35" t="s">
        <v>23</v>
      </c>
    </row>
    <row r="27" spans="1:4" x14ac:dyDescent="0.2">
      <c r="A27" s="36" t="s">
        <v>65</v>
      </c>
      <c r="B27" s="37">
        <f>DATE(ano,1,21)-MOD(DATE(ano,1,5),7)</f>
        <v>44942</v>
      </c>
      <c r="C27" s="38" t="s">
        <v>28</v>
      </c>
      <c r="D27" s="39" t="s">
        <v>66</v>
      </c>
    </row>
    <row r="28" spans="1:4" x14ac:dyDescent="0.2">
      <c r="A28" s="36" t="s">
        <v>67</v>
      </c>
      <c r="B28" s="37">
        <f>DATE(ano,2,21)-MOD(DATE(ano,2,21)-2,7)</f>
        <v>44977</v>
      </c>
      <c r="C28" s="38" t="s">
        <v>28</v>
      </c>
      <c r="D28" s="39" t="s">
        <v>68</v>
      </c>
    </row>
    <row r="29" spans="1:4" x14ac:dyDescent="0.2">
      <c r="A29" s="36" t="s">
        <v>69</v>
      </c>
      <c r="B29" s="37">
        <f>DATE(ano,5,31)-MOD(DATE(ano,5,31)-2,7)</f>
        <v>45075</v>
      </c>
      <c r="C29" s="38" t="s">
        <v>28</v>
      </c>
      <c r="D29" s="39" t="s">
        <v>70</v>
      </c>
    </row>
    <row r="30" spans="1:4" x14ac:dyDescent="0.2">
      <c r="A30" s="36" t="s">
        <v>71</v>
      </c>
      <c r="B30" s="37">
        <f>DATE(ano,7,4)</f>
        <v>45111</v>
      </c>
      <c r="C30" s="38" t="s">
        <v>25</v>
      </c>
      <c r="D30" s="39" t="s">
        <v>72</v>
      </c>
    </row>
    <row r="31" spans="1:4" x14ac:dyDescent="0.2">
      <c r="A31" s="36" t="s">
        <v>73</v>
      </c>
      <c r="B31" s="37">
        <f>DATE(ano,9,7)-MOD(DATE(ano,9,7)-2,7)</f>
        <v>45173</v>
      </c>
      <c r="C31" s="38" t="s">
        <v>28</v>
      </c>
      <c r="D31" s="39" t="s">
        <v>74</v>
      </c>
    </row>
    <row r="32" spans="1:4" x14ac:dyDescent="0.2">
      <c r="A32" s="36" t="s">
        <v>75</v>
      </c>
      <c r="B32" s="37">
        <f>DATE(ano,10,1)+IF(2&lt;WEEKDAY(DATE(ano,10,1)),7-WEEKDAY(DATE(ano,10,1))+2,2-WEEKDAY(DATE(ano,10,1)))+((2-1)*7)</f>
        <v>45208</v>
      </c>
      <c r="C32" s="38" t="s">
        <v>28</v>
      </c>
      <c r="D32" s="39" t="s">
        <v>76</v>
      </c>
    </row>
    <row r="33" spans="1:4" x14ac:dyDescent="0.2">
      <c r="A33" s="40" t="s">
        <v>77</v>
      </c>
      <c r="B33" s="41">
        <f>DATE(ano,11,11)</f>
        <v>45241</v>
      </c>
      <c r="C33" s="42" t="s">
        <v>25</v>
      </c>
      <c r="D33" s="39" t="s">
        <v>78</v>
      </c>
    </row>
    <row r="34" spans="1:4" ht="13.5" thickBot="1" x14ac:dyDescent="0.25">
      <c r="A34" s="43" t="s">
        <v>79</v>
      </c>
      <c r="B34" s="44">
        <f>DATE(ano,11,28)-MOD(DATE(ano,11,28)-5,7)</f>
        <v>45253</v>
      </c>
      <c r="C34" s="45" t="s">
        <v>28</v>
      </c>
      <c r="D34" s="46" t="s">
        <v>80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24</vt:i4>
      </vt:variant>
    </vt:vector>
  </HeadingPairs>
  <TitlesOfParts>
    <vt:vector size="28" baseType="lpstr">
      <vt:lpstr>Roteiros</vt:lpstr>
      <vt:lpstr>Passeios</vt:lpstr>
      <vt:lpstr>Calendario</vt:lpstr>
      <vt:lpstr>Feriados</vt:lpstr>
      <vt:lpstr>_Abr1</vt:lpstr>
      <vt:lpstr>_Ago1</vt:lpstr>
      <vt:lpstr>_Brz1</vt:lpstr>
      <vt:lpstr>_Brz2</vt:lpstr>
      <vt:lpstr>_Dez1</vt:lpstr>
      <vt:lpstr>_Fev1</vt:lpstr>
      <vt:lpstr>_Jan1</vt:lpstr>
      <vt:lpstr>_Jul1</vt:lpstr>
      <vt:lpstr>_Jun1</vt:lpstr>
      <vt:lpstr>_Mai1</vt:lpstr>
      <vt:lpstr>_Mar1</vt:lpstr>
      <vt:lpstr>_Nov1</vt:lpstr>
      <vt:lpstr>_Out1</vt:lpstr>
      <vt:lpstr>_Set1</vt:lpstr>
      <vt:lpstr>ano</vt:lpstr>
      <vt:lpstr>Calendario!Area_de_impressao</vt:lpstr>
      <vt:lpstr>Passeios!Area_de_impressao</vt:lpstr>
      <vt:lpstr>Roteiros!Area_de_impressao</vt:lpstr>
      <vt:lpstr>Exibir_Dat_Com</vt:lpstr>
      <vt:lpstr>Exibir_Fer_EUA</vt:lpstr>
      <vt:lpstr>Exibir_Fer_Nac</vt:lpstr>
      <vt:lpstr>Meses</vt:lpstr>
      <vt:lpstr>Páscoa</vt:lpstr>
      <vt:lpstr>USA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Alcioni</dc:creator>
  <cp:lastModifiedBy>Alcioni</cp:lastModifiedBy>
  <cp:lastPrinted>2019-02-06T00:48:42Z</cp:lastPrinted>
  <dcterms:created xsi:type="dcterms:W3CDTF">2009-11-15T14:27:23Z</dcterms:created>
  <dcterms:modified xsi:type="dcterms:W3CDTF">2023-11-03T17:06:12Z</dcterms:modified>
</cp:coreProperties>
</file>